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old AmR protocols with new excel\SUIT-009_AmR_ce-pce_D019\"/>
    </mc:Choice>
  </mc:AlternateContent>
  <xr:revisionPtr revIDLastSave="0" documentId="13_ncr:1_{5F6B6D3F-3E7E-47DB-BB51-803C1E5D49C7}" xr6:coauthVersionLast="47" xr6:coauthVersionMax="47" xr10:uidLastSave="{00000000-0000-0000-0000-000000000000}"/>
  <bookViews>
    <workbookView xWindow="28680" yWindow="-120" windowWidth="25440" windowHeight="15390" tabRatio="707" activeTab="1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>'O2&amp;AmR MiR05-Kit#20J01923'!$I$22</definedName>
    <definedName name="Unknown">'O2&amp;AmR MiR05-Kit#19.01689'!$I$11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86" l="1"/>
  <c r="AB54" i="86"/>
  <c r="AA54" i="86"/>
  <c r="Z54" i="86"/>
  <c r="Y54" i="86"/>
  <c r="X54" i="86"/>
  <c r="W54" i="86"/>
  <c r="V54" i="86"/>
  <c r="U54" i="86"/>
  <c r="AB53" i="86"/>
  <c r="AA53" i="86"/>
  <c r="Z53" i="86"/>
  <c r="Y53" i="86"/>
  <c r="X53" i="86"/>
  <c r="W53" i="86"/>
  <c r="V53" i="86"/>
  <c r="U53" i="86"/>
  <c r="V23" i="86"/>
  <c r="W23" i="86" s="1"/>
  <c r="X23" i="86" s="1"/>
  <c r="Y23" i="86" s="1"/>
  <c r="AC21" i="86"/>
  <c r="AF20" i="86"/>
  <c r="AF19" i="86"/>
  <c r="V18" i="86"/>
  <c r="AB17" i="86"/>
  <c r="AB18" i="86" s="1"/>
  <c r="AA17" i="86"/>
  <c r="Z17" i="86"/>
  <c r="Z21" i="86" s="1"/>
  <c r="Y17" i="86"/>
  <c r="Y18" i="86" s="1"/>
  <c r="X17" i="86"/>
  <c r="X21" i="86" s="1"/>
  <c r="W17" i="86"/>
  <c r="V17" i="86"/>
  <c r="V17" i="83"/>
  <c r="Y21" i="86" l="1"/>
  <c r="X18" i="86"/>
  <c r="AB21" i="86"/>
  <c r="W18" i="86"/>
  <c r="AA18" i="86"/>
  <c r="Z18" i="86"/>
  <c r="AA21" i="86"/>
  <c r="W21" i="86"/>
  <c r="W56" i="86"/>
  <c r="W57" i="86" s="1"/>
  <c r="W58" i="86" s="1"/>
  <c r="X56" i="86"/>
  <c r="X57" i="86" s="1"/>
  <c r="X58" i="86" s="1"/>
  <c r="AB56" i="86"/>
  <c r="AB57" i="86" s="1"/>
  <c r="AB58" i="86" s="1"/>
  <c r="U56" i="86"/>
  <c r="U57" i="86" s="1"/>
  <c r="U58" i="86" s="1"/>
  <c r="Y56" i="86"/>
  <c r="Y57" i="86" s="1"/>
  <c r="Y58" i="86" s="1"/>
  <c r="AA56" i="86"/>
  <c r="AA57" i="86" s="1"/>
  <c r="AA58" i="86" s="1"/>
  <c r="V56" i="86"/>
  <c r="V57" i="86" s="1"/>
  <c r="V58" i="86" s="1"/>
  <c r="Z56" i="86"/>
  <c r="Z57" i="86" s="1"/>
  <c r="Z58" i="86" s="1"/>
  <c r="X19" i="86"/>
  <c r="Z23" i="86"/>
  <c r="AA23" i="86" s="1"/>
  <c r="AB23" i="86" s="1"/>
  <c r="V19" i="86"/>
  <c r="V17" i="85"/>
  <c r="W17" i="85"/>
  <c r="X17" i="85"/>
  <c r="Y17" i="85"/>
  <c r="Z17" i="85"/>
  <c r="AA17" i="85"/>
  <c r="AB17" i="85"/>
  <c r="V29" i="86" l="1"/>
  <c r="V62" i="86"/>
  <c r="V30" i="86" s="1"/>
  <c r="X31" i="86" s="1"/>
  <c r="AB62" i="86"/>
  <c r="AB30" i="86" s="1"/>
  <c r="AB32" i="86" s="1"/>
  <c r="AB29" i="86"/>
  <c r="Z29" i="86"/>
  <c r="Z62" i="86"/>
  <c r="Z30" i="86" s="1"/>
  <c r="Z32" i="86" s="1"/>
  <c r="AA62" i="86"/>
  <c r="AA29" i="86"/>
  <c r="X62" i="86"/>
  <c r="X30" i="86" s="1"/>
  <c r="X32" i="86" s="1"/>
  <c r="X29" i="86"/>
  <c r="Y62" i="86"/>
  <c r="Y30" i="86" s="1"/>
  <c r="Y32" i="86" s="1"/>
  <c r="Y29" i="86"/>
  <c r="W62" i="86"/>
  <c r="W30" i="86" s="1"/>
  <c r="W29" i="86"/>
  <c r="AB22" i="86"/>
  <c r="AB19" i="86"/>
  <c r="V22" i="86"/>
  <c r="AA22" i="86"/>
  <c r="AA19" i="86"/>
  <c r="W32" i="86"/>
  <c r="Y22" i="86"/>
  <c r="Y19" i="86"/>
  <c r="X22" i="86"/>
  <c r="W22" i="86"/>
  <c r="W20" i="86" s="1"/>
  <c r="W19" i="86"/>
  <c r="Z22" i="86"/>
  <c r="Z20" i="86" s="1"/>
  <c r="Z19" i="86"/>
  <c r="AA30" i="86"/>
  <c r="W31" i="86" l="1"/>
  <c r="AB31" i="86"/>
  <c r="Z31" i="86"/>
  <c r="Y31" i="86"/>
  <c r="X20" i="86"/>
  <c r="Y20" i="86"/>
  <c r="V20" i="86"/>
  <c r="V31" i="86"/>
  <c r="V32" i="86"/>
  <c r="AB20" i="86"/>
  <c r="AA20" i="86"/>
  <c r="AA32" i="86"/>
  <c r="AA31" i="86"/>
  <c r="V53" i="84"/>
  <c r="W53" i="84"/>
  <c r="X53" i="84"/>
  <c r="Y53" i="84"/>
  <c r="Z53" i="84"/>
  <c r="AA53" i="84"/>
  <c r="AB53" i="84"/>
  <c r="W21" i="85"/>
  <c r="V53" i="85"/>
  <c r="W53" i="85"/>
  <c r="X53" i="85"/>
  <c r="Y53" i="85"/>
  <c r="Z53" i="85"/>
  <c r="AA53" i="85"/>
  <c r="AB53" i="85"/>
  <c r="AB54" i="85"/>
  <c r="AA54" i="85"/>
  <c r="Z54" i="85"/>
  <c r="Y54" i="85"/>
  <c r="X54" i="85"/>
  <c r="W54" i="85"/>
  <c r="V54" i="85"/>
  <c r="U54" i="85"/>
  <c r="U53" i="85"/>
  <c r="V23" i="85"/>
  <c r="W23" i="85" s="1"/>
  <c r="AC21" i="85"/>
  <c r="AF20" i="85"/>
  <c r="AF19" i="85"/>
  <c r="AB18" i="85"/>
  <c r="AA18" i="85"/>
  <c r="W18" i="85"/>
  <c r="V18" i="85"/>
  <c r="Z18" i="85"/>
  <c r="Y18" i="85"/>
  <c r="V21" i="85"/>
  <c r="X18" i="85" l="1"/>
  <c r="Y56" i="85"/>
  <c r="Y57" i="85" s="1"/>
  <c r="Y58" i="85" s="1"/>
  <c r="Z56" i="85"/>
  <c r="Z57" i="85" s="1"/>
  <c r="Z58" i="85" s="1"/>
  <c r="Z29" i="85" s="1"/>
  <c r="W56" i="85"/>
  <c r="W57" i="85" s="1"/>
  <c r="W58" i="85" s="1"/>
  <c r="AA56" i="85"/>
  <c r="AA57" i="85" s="1"/>
  <c r="AA58" i="85" s="1"/>
  <c r="AA29" i="85" s="1"/>
  <c r="U56" i="85"/>
  <c r="U57" i="85" s="1"/>
  <c r="U58" i="85" s="1"/>
  <c r="V56" i="85"/>
  <c r="V57" i="85" s="1"/>
  <c r="V58" i="85" s="1"/>
  <c r="V29" i="85" s="1"/>
  <c r="X56" i="85"/>
  <c r="X57" i="85" s="1"/>
  <c r="X58" i="85" s="1"/>
  <c r="X29" i="85" s="1"/>
  <c r="AB56" i="85"/>
  <c r="AB57" i="85" s="1"/>
  <c r="AB58" i="85" s="1"/>
  <c r="AB29" i="85" s="1"/>
  <c r="X23" i="85"/>
  <c r="X21" i="85" s="1"/>
  <c r="W62" i="85" l="1"/>
  <c r="W30" i="85" s="1"/>
  <c r="W32" i="85" s="1"/>
  <c r="W29" i="85"/>
  <c r="Y62" i="85"/>
  <c r="Y29" i="85"/>
  <c r="AB62" i="85"/>
  <c r="X62" i="85"/>
  <c r="X30" i="85" s="1"/>
  <c r="AA62" i="85"/>
  <c r="V62" i="85"/>
  <c r="V30" i="85" s="1"/>
  <c r="V32" i="85" s="1"/>
  <c r="Z62" i="85"/>
  <c r="Y23" i="85"/>
  <c r="Y21" i="85" s="1"/>
  <c r="X32" i="85" l="1"/>
  <c r="X31" i="85"/>
  <c r="W31" i="85"/>
  <c r="V31" i="85"/>
  <c r="Z23" i="85"/>
  <c r="Z21" i="85" s="1"/>
  <c r="Y30" i="85"/>
  <c r="Y32" i="85" l="1"/>
  <c r="Y31" i="85"/>
  <c r="AA23" i="85"/>
  <c r="AA21" i="85" s="1"/>
  <c r="Z30" i="85"/>
  <c r="Z32" i="85" l="1"/>
  <c r="Z31" i="85"/>
  <c r="Z19" i="85"/>
  <c r="V19" i="85"/>
  <c r="W19" i="85"/>
  <c r="X19" i="85"/>
  <c r="Y19" i="85"/>
  <c r="AB23" i="85"/>
  <c r="AB21" i="85" s="1"/>
  <c r="AA30" i="85"/>
  <c r="AA31" i="85" l="1"/>
  <c r="AA32" i="85"/>
  <c r="AB22" i="85"/>
  <c r="V22" i="85"/>
  <c r="W22" i="85"/>
  <c r="X22" i="85"/>
  <c r="Y22" i="85"/>
  <c r="Z22" i="85"/>
  <c r="AA22" i="85"/>
  <c r="AA19" i="85"/>
  <c r="AB30" i="85"/>
  <c r="AB32" i="85" l="1"/>
  <c r="AB31" i="85"/>
  <c r="AB20" i="85"/>
  <c r="AB19" i="85"/>
  <c r="X20" i="85"/>
  <c r="Z20" i="85"/>
  <c r="Y20" i="85" l="1"/>
  <c r="AA20" i="85"/>
  <c r="W20" i="85"/>
  <c r="V20" i="85"/>
  <c r="AB54" i="84" l="1"/>
  <c r="AA54" i="84"/>
  <c r="Z54" i="84"/>
  <c r="Y54" i="84"/>
  <c r="X54" i="84"/>
  <c r="W54" i="84"/>
  <c r="V54" i="84"/>
  <c r="U54" i="84"/>
  <c r="U53" i="84"/>
  <c r="V23" i="84"/>
  <c r="W23" i="84" s="1"/>
  <c r="AC21" i="84"/>
  <c r="AF20" i="84"/>
  <c r="AF19" i="84"/>
  <c r="AB17" i="84"/>
  <c r="AA17" i="84"/>
  <c r="Z17" i="84"/>
  <c r="Y17" i="84"/>
  <c r="X17" i="84"/>
  <c r="W17" i="84"/>
  <c r="V17" i="84"/>
  <c r="V21" i="84" s="1"/>
  <c r="AB18" i="84" l="1"/>
  <c r="V18" i="84"/>
  <c r="X18" i="84"/>
  <c r="Y18" i="84"/>
  <c r="W18" i="84"/>
  <c r="W21" i="84"/>
  <c r="AA18" i="84"/>
  <c r="Z18" i="84"/>
  <c r="AB56" i="84"/>
  <c r="AB57" i="84" s="1"/>
  <c r="AB58" i="84" s="1"/>
  <c r="Y56" i="84"/>
  <c r="Y57" i="84" s="1"/>
  <c r="Y58" i="84" s="1"/>
  <c r="V56" i="84"/>
  <c r="V57" i="84" s="1"/>
  <c r="V58" i="84" s="1"/>
  <c r="Z56" i="84"/>
  <c r="Z57" i="84" s="1"/>
  <c r="Z58" i="84" s="1"/>
  <c r="X56" i="84"/>
  <c r="X57" i="84" s="1"/>
  <c r="X58" i="84" s="1"/>
  <c r="U56" i="84"/>
  <c r="U57" i="84" s="1"/>
  <c r="U58" i="84" s="1"/>
  <c r="W56" i="84"/>
  <c r="W57" i="84" s="1"/>
  <c r="W58" i="84" s="1"/>
  <c r="AA56" i="84"/>
  <c r="AA57" i="84" s="1"/>
  <c r="AA58" i="84" s="1"/>
  <c r="X23" i="84"/>
  <c r="Y23" i="84" s="1"/>
  <c r="Z23" i="84" s="1"/>
  <c r="AA23" i="84" s="1"/>
  <c r="AA21" i="84" s="1"/>
  <c r="AC21" i="83"/>
  <c r="AF20" i="83"/>
  <c r="AF19" i="83"/>
  <c r="V23" i="83"/>
  <c r="W23" i="83" s="1"/>
  <c r="AB17" i="83"/>
  <c r="AB18" i="83" s="1"/>
  <c r="AA17" i="83"/>
  <c r="Z17" i="83"/>
  <c r="Y17" i="83"/>
  <c r="X17" i="83"/>
  <c r="W17" i="83"/>
  <c r="W18" i="83" s="1"/>
  <c r="V54" i="83"/>
  <c r="V53" i="83"/>
  <c r="W53" i="83"/>
  <c r="Z54" i="83"/>
  <c r="AA54" i="83"/>
  <c r="AB54" i="83"/>
  <c r="Z53" i="83"/>
  <c r="AA53" i="83"/>
  <c r="AB53" i="83"/>
  <c r="W54" i="83"/>
  <c r="X54" i="83"/>
  <c r="X56" i="83" s="1"/>
  <c r="X57" i="83" s="1"/>
  <c r="X58" i="83" s="1"/>
  <c r="Y54" i="83"/>
  <c r="U54" i="83"/>
  <c r="X53" i="83"/>
  <c r="Y53" i="83"/>
  <c r="U53" i="83"/>
  <c r="W29" i="84" l="1"/>
  <c r="W62" i="84"/>
  <c r="W30" i="84" s="1"/>
  <c r="W32" i="84" s="1"/>
  <c r="X29" i="84"/>
  <c r="X62" i="84"/>
  <c r="X30" i="84" s="1"/>
  <c r="AA29" i="84"/>
  <c r="AA62" i="84"/>
  <c r="AA30" i="84" s="1"/>
  <c r="Z29" i="84"/>
  <c r="Z62" i="84"/>
  <c r="Z30" i="84" s="1"/>
  <c r="V29" i="84"/>
  <c r="V62" i="84"/>
  <c r="V30" i="84" s="1"/>
  <c r="Y29" i="84"/>
  <c r="Y62" i="84"/>
  <c r="Y30" i="84" s="1"/>
  <c r="AB29" i="84"/>
  <c r="AB62" i="84"/>
  <c r="X62" i="83"/>
  <c r="X30" i="83" s="1"/>
  <c r="X29" i="83"/>
  <c r="Y18" i="83"/>
  <c r="V18" i="83"/>
  <c r="Z18" i="83"/>
  <c r="W56" i="83"/>
  <c r="W57" i="83" s="1"/>
  <c r="W58" i="83" s="1"/>
  <c r="AB56" i="83"/>
  <c r="AB57" i="83" s="1"/>
  <c r="AB58" i="83" s="1"/>
  <c r="AA18" i="83"/>
  <c r="Y56" i="83"/>
  <c r="Y57" i="83" s="1"/>
  <c r="Y58" i="83" s="1"/>
  <c r="AA56" i="83"/>
  <c r="AA57" i="83" s="1"/>
  <c r="AA58" i="83" s="1"/>
  <c r="U56" i="83"/>
  <c r="U57" i="83" s="1"/>
  <c r="U58" i="83" s="1"/>
  <c r="V56" i="83"/>
  <c r="V57" i="83" s="1"/>
  <c r="V58" i="83" s="1"/>
  <c r="Y21" i="84"/>
  <c r="X21" i="84"/>
  <c r="Z21" i="84"/>
  <c r="AB23" i="84"/>
  <c r="AB21" i="84" s="1"/>
  <c r="X23" i="83"/>
  <c r="Y23" i="83" s="1"/>
  <c r="W21" i="83"/>
  <c r="X21" i="83"/>
  <c r="V21" i="83"/>
  <c r="Z56" i="83"/>
  <c r="Z57" i="83" s="1"/>
  <c r="Z58" i="83" s="1"/>
  <c r="Z29" i="83" s="1"/>
  <c r="X18" i="83"/>
  <c r="V31" i="84" l="1"/>
  <c r="V32" i="84"/>
  <c r="Y62" i="83"/>
  <c r="Y30" i="83" s="1"/>
  <c r="Y29" i="83"/>
  <c r="AB62" i="83"/>
  <c r="AB29" i="83"/>
  <c r="W62" i="83"/>
  <c r="W30" i="83" s="1"/>
  <c r="W32" i="83" s="1"/>
  <c r="W29" i="83"/>
  <c r="V62" i="83"/>
  <c r="V30" i="83" s="1"/>
  <c r="X31" i="83" s="1"/>
  <c r="V29" i="83"/>
  <c r="AA62" i="83"/>
  <c r="AA29" i="83"/>
  <c r="X32" i="83"/>
  <c r="Z62" i="83"/>
  <c r="W31" i="84"/>
  <c r="X19" i="84"/>
  <c r="Z19" i="84"/>
  <c r="V19" i="84"/>
  <c r="X31" i="84"/>
  <c r="X32" i="84"/>
  <c r="AA19" i="84"/>
  <c r="Y19" i="84"/>
  <c r="AA32" i="84"/>
  <c r="AA31" i="84"/>
  <c r="W19" i="84"/>
  <c r="Y31" i="84"/>
  <c r="Y32" i="84"/>
  <c r="Y22" i="84"/>
  <c r="AB30" i="84"/>
  <c r="Z31" i="84"/>
  <c r="Z32" i="84"/>
  <c r="Y21" i="83"/>
  <c r="Z23" i="83"/>
  <c r="V31" i="83" l="1"/>
  <c r="V32" i="83"/>
  <c r="W31" i="83"/>
  <c r="Y31" i="83"/>
  <c r="Y32" i="83"/>
  <c r="AA22" i="84"/>
  <c r="Z22" i="84"/>
  <c r="Z20" i="84" s="1"/>
  <c r="AB32" i="84"/>
  <c r="AB31" i="84"/>
  <c r="AB22" i="84"/>
  <c r="AB19" i="84"/>
  <c r="V22" i="84"/>
  <c r="W22" i="84"/>
  <c r="X22" i="84"/>
  <c r="Z21" i="83"/>
  <c r="AA23" i="83"/>
  <c r="Z30" i="83"/>
  <c r="Z31" i="83" l="1"/>
  <c r="Z32" i="83"/>
  <c r="X20" i="84"/>
  <c r="AB20" i="84"/>
  <c r="V20" i="84"/>
  <c r="W20" i="84"/>
  <c r="AA20" i="84"/>
  <c r="Y20" i="84"/>
  <c r="Z19" i="83"/>
  <c r="V19" i="83"/>
  <c r="X19" i="83"/>
  <c r="W19" i="83"/>
  <c r="AB23" i="83"/>
  <c r="AA21" i="83"/>
  <c r="AA30" i="83"/>
  <c r="Y19" i="83"/>
  <c r="AA32" i="83" l="1"/>
  <c r="AA31" i="83"/>
  <c r="AB21" i="83"/>
  <c r="V22" i="83" s="1"/>
  <c r="AB30" i="83"/>
  <c r="AA19" i="83"/>
  <c r="AB32" i="83" l="1"/>
  <c r="AB31" i="83"/>
  <c r="AA22" i="83"/>
  <c r="AB22" i="83"/>
  <c r="AB19" i="83"/>
  <c r="W22" i="83"/>
  <c r="X22" i="83"/>
  <c r="Y22" i="83"/>
  <c r="Z22" i="83"/>
  <c r="Z20" i="83" s="1"/>
  <c r="Y20" i="83" l="1"/>
  <c r="X20" i="83"/>
  <c r="AB20" i="83"/>
  <c r="V20" i="83"/>
  <c r="W20" i="83"/>
  <c r="AA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4B29192-BEF9-46B6-9BD8-618DC74D94BE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738184E2-887D-42E2-97AB-99AA4EC627B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2C5FF8B-29DC-4A84-B526-9D405380C9BA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1F3E3D79-09D9-4D57-8313-240D36DF805C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3595164-7B5E-4D26-ACD1-7E3AA6836FC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67D587D-1574-4882-8BD7-8EA70F65F17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D24CA03F-E580-49C1-8637-0F32A3966F0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19AAAAA-6562-4ACF-9184-C498E555532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FF8165DB-4A79-4DA6-A801-A8507AAF118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7FA06C58-9EAF-4DC9-A418-77A3ADECBF2A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<sst xmlns="http://schemas.openxmlformats.org/spreadsheetml/2006/main" count="559" uniqueCount="138">
  <si>
    <t>Sample</t>
  </si>
  <si>
    <t>Medium</t>
  </si>
  <si>
    <t>no ROX-corr.</t>
  </si>
  <si>
    <t>Sample concentration</t>
  </si>
  <si>
    <t>2D</t>
  </si>
  <si>
    <t>0 (before sample)</t>
  </si>
  <si>
    <t>1 (after sample)</t>
  </si>
  <si>
    <t>1S</t>
  </si>
  <si>
    <t>3P</t>
  </si>
  <si>
    <t>a°</t>
  </si>
  <si>
    <t>b°</t>
  </si>
  <si>
    <t>Sensitivity [V/µM]</t>
  </si>
  <si>
    <t>J°</t>
  </si>
  <si>
    <t>pmol/(s*mL)</t>
  </si>
  <si>
    <t>mV/s</t>
  </si>
  <si>
    <t>1Dig</t>
  </si>
  <si>
    <t>mL</t>
  </si>
  <si>
    <t>Enter the sensitivity values into the yellow boxes.Never leave the first box empty.</t>
  </si>
  <si>
    <t>4Rot</t>
  </si>
  <si>
    <t>5Ama</t>
  </si>
  <si>
    <t>ce1</t>
  </si>
  <si>
    <t>J°1</t>
  </si>
  <si>
    <t>Timi</t>
  </si>
  <si>
    <t>O2 calibration</t>
  </si>
  <si>
    <t>POS #</t>
  </si>
  <si>
    <t>Marks from</t>
  </si>
  <si>
    <t>Median</t>
  </si>
  <si>
    <t>Unit</t>
  </si>
  <si>
    <t>Protocol</t>
  </si>
  <si>
    <t>Temp</t>
  </si>
  <si>
    <t>°C</t>
  </si>
  <si>
    <t>State</t>
  </si>
  <si>
    <t>O2 background slope</t>
  </si>
  <si>
    <t>ROX</t>
  </si>
  <si>
    <t>S_L</t>
  </si>
  <si>
    <t>S_P</t>
  </si>
  <si>
    <t>Sample type</t>
  </si>
  <si>
    <t>Air saturation</t>
  </si>
  <si>
    <t>µM</t>
  </si>
  <si>
    <t>Concentration</t>
  </si>
  <si>
    <t>Cohort</t>
  </si>
  <si>
    <t>R1</t>
  </si>
  <si>
    <t>V</t>
  </si>
  <si>
    <t>Volume</t>
  </si>
  <si>
    <t>Sample code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</si>
  <si>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</si>
  <si>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</si>
  <si>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</si>
  <si>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</si>
  <si>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</si>
  <si>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</si>
  <si>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</si>
  <si>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</si>
  <si>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</si>
  <si>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Mio. cells/mL</t>
  </si>
  <si>
    <t>MiR05-Kit</t>
  </si>
  <si>
    <t>Sample amount</t>
  </si>
  <si>
    <t>Mio. cell</t>
  </si>
  <si>
    <t>O2 background a°</t>
  </si>
  <si>
    <t>X</t>
  </si>
  <si>
    <t>Chamber volume</t>
  </si>
  <si>
    <t>O2 background b°</t>
  </si>
  <si>
    <t>Chemical background slope</t>
  </si>
  <si>
    <t>5A: O2 concentration</t>
  </si>
  <si>
    <t>Sensitivity of 0 (before sample) comes from the AmR calibration file.</t>
  </si>
  <si>
    <t>SUIT-009_AmR_ce-pce_D019</t>
  </si>
  <si>
    <t>SUIT-009_AmR_ce-pce_D019.DLP</t>
  </si>
  <si>
    <t>H-0001</t>
  </si>
  <si>
    <t>P5A</t>
  </si>
  <si>
    <t>ce_R</t>
  </si>
  <si>
    <t>NS_P</t>
  </si>
  <si>
    <t>HEK293</t>
  </si>
  <si>
    <t>croypreserved</t>
  </si>
  <si>
    <t>-</t>
  </si>
  <si>
    <t>ce1R</t>
  </si>
  <si>
    <t>5A: H2O2 raw</t>
  </si>
  <si>
    <t>5A: H2O2 slope</t>
  </si>
  <si>
    <t>5A: O2 slope neg.</t>
  </si>
  <si>
    <t>FCR</t>
  </si>
  <si>
    <t>ROUTINE-respiration</t>
  </si>
  <si>
    <t>Residual oxygen consumption</t>
  </si>
  <si>
    <t>Flux per V</t>
  </si>
  <si>
    <t>Flux per V (bc)</t>
  </si>
  <si>
    <t>Reference state:</t>
  </si>
  <si>
    <t>Baseline state:</t>
  </si>
  <si>
    <r>
      <t>FCR (</t>
    </r>
    <r>
      <rPr>
        <b/>
        <sz val="10"/>
        <rFont val="Verdana"/>
        <family val="2"/>
      </rPr>
      <t>bc)</t>
    </r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</si>
  <si>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AB boxes)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</si>
  <si>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</si>
  <si>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</si>
  <si>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</si>
  <si>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</si>
  <si>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</si>
  <si>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MiPNet24.10!</t>
  </si>
  <si>
    <t>HEK293T</t>
  </si>
  <si>
    <t>Information</t>
  </si>
  <si>
    <t>O2k-O2 trace</t>
  </si>
  <si>
    <t>O2k-Amp trace</t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</si>
  <si>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</si>
  <si>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t>Please check the equation used for MiR05. For details, see:MiPNet24.10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</si>
  <si>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</si>
  <si>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</si>
  <si>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</si>
  <si>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flow/Specific 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</si>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</sst>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94">
    <xf numFmtId="0" fontId="0" fillId="0" borderId="0" xfId="0"/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vertical="top"/>
    </xf>
    <xf numFmtId="0" fontId="7" fillId="0" borderId="0" xfId="0" applyFont="1" applyBorder="1"/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2" borderId="0" xfId="0" applyFont="1" applyFill="1" applyBorder="1" applyAlignment="1">
      <alignment vertical="top"/>
    </xf>
    <xf numFmtId="166" fontId="6" fillId="12" borderId="0" xfId="0" applyNumberFormat="1" applyFont="1" applyFill="1" applyBorder="1" applyAlignment="1">
      <alignment horizontal="right" vertical="center"/>
    </xf>
    <xf numFmtId="165" fontId="9" fillId="12" borderId="0" xfId="0" applyNumberFormat="1" applyFont="1" applyFill="1" applyBorder="1" applyAlignment="1">
      <alignment horizontal="right" vertical="center"/>
    </xf>
    <xf numFmtId="0" fontId="9" fillId="12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Fill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2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4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2" borderId="0" xfId="0" applyNumberFormat="1" applyFont="1" applyFill="1" applyBorder="1" applyAlignment="1">
      <alignment horizontal="right" vertical="center"/>
    </xf>
    <xf numFmtId="166" fontId="9" fillId="12" borderId="0" xfId="0" applyNumberFormat="1" applyFont="1" applyFill="1" applyBorder="1" applyAlignment="1">
      <alignment horizontal="right" vertical="center"/>
    </xf>
    <xf numFmtId="49" fontId="6" fillId="4" borderId="0" xfId="2" applyNumberFormat="1" applyFont="1" applyFill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9" borderId="0" xfId="0" applyFont="1" applyFill="1" applyBorder="1"/>
    <xf numFmtId="2" fontId="7" fillId="9" borderId="0" xfId="0" applyNumberFormat="1" applyFont="1" applyFill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3" fillId="0" borderId="0" xfId="0" applyNumberFormat="1" applyFont="1" applyBorder="1" applyAlignment="1">
      <alignment horizontal="center"/>
    </xf>
    <xf numFmtId="0" fontId="7" fillId="10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2" fontId="17" fillId="0" borderId="0" xfId="0" applyNumberFormat="1" applyFont="1" applyFill="1" applyBorder="1" applyAlignment="1">
      <alignment vertical="top"/>
    </xf>
    <xf numFmtId="0" fontId="7" fillId="1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2" fontId="17" fillId="11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horizontal="center"/>
    </xf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1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21" fontId="6" fillId="0" borderId="0" xfId="0" applyNumberFormat="1" applyFont="1" applyBorder="1"/>
    <xf numFmtId="0" fontId="6" fillId="4" borderId="0" xfId="0" applyFont="1" applyFill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/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14" borderId="0" xfId="0" applyFont="1" applyFill="1" applyBorder="1" applyAlignment="1">
      <alignment vertical="top"/>
    </xf>
    <xf numFmtId="0" fontId="7" fillId="14" borderId="0" xfId="0" applyFont="1" applyFill="1" applyBorder="1" applyAlignment="1">
      <alignment vertical="top"/>
    </xf>
    <xf numFmtId="21" fontId="10" fillId="14" borderId="0" xfId="0" applyNumberFormat="1" applyFont="1" applyFill="1" applyBorder="1"/>
    <xf numFmtId="0" fontId="7" fillId="14" borderId="0" xfId="0" applyFont="1" applyFill="1" applyBorder="1"/>
    <xf numFmtId="21" fontId="7" fillId="14" borderId="0" xfId="0" applyNumberFormat="1" applyFont="1" applyFill="1" applyBorder="1" applyAlignment="1">
      <alignment vertical="top"/>
    </xf>
    <xf numFmtId="0" fontId="15" fillId="14" borderId="0" xfId="0" applyFont="1" applyFill="1" applyBorder="1"/>
    <xf numFmtId="21" fontId="15" fillId="14" borderId="0" xfId="0" applyNumberFormat="1" applyFont="1" applyFill="1" applyBorder="1" applyAlignment="1">
      <alignment vertical="top"/>
    </xf>
    <xf numFmtId="166" fontId="15" fillId="14" borderId="0" xfId="0" applyNumberFormat="1" applyFont="1" applyFill="1" applyBorder="1" applyAlignment="1">
      <alignment vertical="top"/>
    </xf>
    <xf numFmtId="0" fontId="6" fillId="15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32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top"/>
    </xf>
    <xf numFmtId="166" fontId="7" fillId="11" borderId="0" xfId="0" applyNumberFormat="1" applyFont="1" applyFill="1" applyBorder="1" applyAlignment="1">
      <alignment vertical="top"/>
    </xf>
    <xf numFmtId="0" fontId="39" fillId="0" borderId="0" xfId="0" applyFont="1" applyBorder="1" applyAlignment="1">
      <alignment horizontal="left"/>
    </xf>
    <xf numFmtId="0" fontId="41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3" borderId="0" xfId="0" applyFont="1" applyFill="1" applyAlignment="1">
      <alignment horizontal="center" vertical="center"/>
    </xf>
    <xf numFmtId="0" fontId="17" fillId="14" borderId="0" xfId="0" applyFont="1" applyFill="1" applyBorder="1" applyAlignment="1">
      <alignment vertical="top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4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2" fillId="0" borderId="0" xfId="0" applyFont="1"/>
    <xf numFmtId="0" fontId="18" fillId="12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6" fillId="12" borderId="0" xfId="0" applyFont="1" applyFill="1" applyAlignment="1">
      <alignment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43" fillId="12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B050"/>
      <color rgb="FF000099"/>
      <color rgb="FF00800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92-4AE1-A816-D998B6865A2C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192-4AE1-A816-D998B6865A2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49436781812307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9B-4C6C-8138-EC8CC271CA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39B-4C6C-8138-EC8CC271CA3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9B-4C6C-8138-EC8CC271CA3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9B-4C6C-8138-EC8CC271CA3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39B-4C6C-8138-EC8CC271CA3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39B-4C6C-8138-EC8CC271CA3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9B-4C6C-8138-EC8CC271CA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39B-4C6C-8138-EC8CC271CA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39B-4C6C-8138-EC8CC271CA3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39B-4C6C-8138-EC8CC271CA3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39B-4C6C-8138-EC8CC271C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MiR05-Kit#19.01689'!$U$36:$AB$36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6-4AAC-9C63-E49F9A92C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23-4B2E-A4D0-5C90A9150B1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23-4B2E-A4D0-5C90A9150B1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23-4B2E-A4D0-5C90A9150B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23-4B2E-A4D0-5C90A9150B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23-4B2E-A4D0-5C90A9150B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23-4B2E-A4D0-5C90A9150B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923-4B2E-A4D0-5C90A9150B1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923-4B2E-A4D0-5C90A9150B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923-4B2E-A4D0-5C90A9150B1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923-4B2E-A4D0-5C90A9150B1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923-4B2E-A4D0-5C90A9150B1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923-4B2E-A4D0-5C90A9150B1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923-4B2E-A4D0-5C90A9150B1F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23-4B2E-A4D0-5C90A915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C6-4713-8D1F-86011F41ECA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C6-4713-8D1F-86011F41ECA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C6-4713-8D1F-86011F41ECA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C6-4713-8D1F-86011F41ECA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C6-4713-8D1F-86011F41ECA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C6-4713-8D1F-86011F41ECA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0C6-4713-8D1F-86011F41ECA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0C6-4713-8D1F-86011F41ECA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0C6-4713-8D1F-86011F41ECA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0C6-4713-8D1F-86011F41ECA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C6-4713-8D1F-86011F41ECAD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0C6-4713-8D1F-86011F41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D0-4DE5-9BBC-D14205F3EA9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D0-4DE5-9BBC-D14205F3EA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D0-4DE5-9BBC-D14205F3EA9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D0-4DE5-9BBC-D14205F3EA9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D0-4DE5-9BBC-D14205F3EA9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D0-4DE5-9BBC-D14205F3E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8D0-4DE5-9BBC-D14205F3EA9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8D0-4DE5-9BBC-D14205F3EA9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8D0-4DE5-9BBC-D14205F3EA9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8D0-4DE5-9BBC-D14205F3EA9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D0-4DE5-9BBC-D14205F3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MiR05-Kit#20J01923'!$U$36:$AB$36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0-496C-B0AC-1116B033A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32-4D81-B0B3-ECF8B07D0FB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32-4D81-B0B3-ECF8B07D0FB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32-4D81-B0B3-ECF8B07D0FB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32-4D81-B0B3-ECF8B07D0FB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32-4D81-B0B3-ECF8B07D0FB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32-4D81-B0B3-ECF8B07D0FB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32-4D81-B0B3-ECF8B07D0F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432-4D81-B0B3-ECF8B07D0FB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432-4D81-B0B3-ECF8B07D0FB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32-4D81-B0B3-ECF8B07D0F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432-4D81-B0B3-ECF8B07D0FB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432-4D81-B0B3-ECF8B07D0F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432-4D81-B0B3-ECF8B07D0FB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432-4D81-B0B3-ECF8B07D0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565494465185690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250-4F0C-9F66-E70F6CF7357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50-4F0C-9F66-E70F6CF7357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C4B-4E24-BB84-AAF0E5ECBFF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MiR05-Kit#0915'!$U$36:$AB$36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MiR05-Kit#18.02872'!$E$1:$E$2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41-4D6E-AB28-B1D718F58B4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41-4D6E-AB28-B1D718F58B4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41-4D6E-AB28-B1D718F58B4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41-4D6E-AB28-B1D718F58B4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41-4D6E-AB28-B1D718F58B4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41-4D6E-AB28-B1D718F58B4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41-4D6E-AB28-B1D718F58B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B41-4D6E-AB28-B1D718F58B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B41-4D6E-AB28-B1D718F58B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B41-4D6E-AB28-B1D718F58B4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B41-4D6E-AB28-B1D718F58B4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MiR05-Kit#18.02872'!$V$31:$AB$31</c:f>
              <c:numCache>
                <c:formatCode>0.000</c:formatCode>
                <c:ptCount val="7"/>
                <c:pt idx="0">
                  <c:v>0</c:v>
                </c:pt>
                <c:pt idx="1">
                  <c:v>0.10631988937475098</c:v>
                </c:pt>
                <c:pt idx="2">
                  <c:v>0.14906662570711596</c:v>
                </c:pt>
                <c:pt idx="3">
                  <c:v>0.12578415030416182</c:v>
                </c:pt>
                <c:pt idx="4">
                  <c:v>0.12520777323377028</c:v>
                </c:pt>
                <c:pt idx="5">
                  <c:v>0.12996609397519823</c:v>
                </c:pt>
                <c:pt idx="6">
                  <c:v>0.17401453495871336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41-4D6E-AB28-B1D718F5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69-473C-AC13-71972C810AD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69-473C-AC13-71972C810AD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169-473C-AC13-71972C810AD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169-473C-AC13-71972C810AD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169-473C-AC13-71972C810AD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169-473C-AC13-71972C810AD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169-473C-AC13-71972C810A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169-473C-AC13-71972C810A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69-473C-AC13-71972C810A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69-473C-AC13-71972C810A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MiR05-Kit#18.02872'!$V$32:$AB$32</c:f>
              <c:numCache>
                <c:formatCode>0.000</c:formatCode>
                <c:ptCount val="7"/>
                <c:pt idx="0">
                  <c:v>8.5838179064484134E-3</c:v>
                </c:pt>
                <c:pt idx="1">
                  <c:v>4.7480902329130818E-2</c:v>
                </c:pt>
                <c:pt idx="2">
                  <c:v>2.041479469678692E-2</c:v>
                </c:pt>
                <c:pt idx="3">
                  <c:v>9.183217884972018E-3</c:v>
                </c:pt>
                <c:pt idx="4">
                  <c:v>8.8438150038328694E-3</c:v>
                </c:pt>
                <c:pt idx="5">
                  <c:v>9.1389972772021322E-3</c:v>
                </c:pt>
                <c:pt idx="6">
                  <c:v>0.28278339524356827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69-473C-AC13-71972C81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MiR05-Kit#18.02872'!$U$36:$AB$36</c:f>
              <c:numCache>
                <c:formatCode>General</c:formatCode>
                <c:ptCount val="8"/>
                <c:pt idx="0">
                  <c:v>2.1762000000000001</c:v>
                </c:pt>
                <c:pt idx="1">
                  <c:v>1.4367000000000001</c:v>
                </c:pt>
                <c:pt idx="2">
                  <c:v>1.4367000000000001</c:v>
                </c:pt>
                <c:pt idx="3">
                  <c:v>1.4367000000000001</c:v>
                </c:pt>
                <c:pt idx="4">
                  <c:v>1.3712</c:v>
                </c:pt>
                <c:pt idx="5">
                  <c:v>1.3712</c:v>
                </c:pt>
                <c:pt idx="6">
                  <c:v>1.3712</c:v>
                </c:pt>
                <c:pt idx="7">
                  <c:v>1.4247000000000001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A-4179-BF33-0C7250E92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3D-4191-9E91-37D6775C278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3D-4191-9E91-37D6775C278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3D-4191-9E91-37D6775C278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3D-4191-9E91-37D6775C278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3D-4191-9E91-37D6775C278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3D-4191-9E91-37D6775C278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03D-4191-9E91-37D6775C278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03D-4191-9E91-37D6775C278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03D-4191-9E91-37D6775C278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03D-4191-9E91-37D6775C278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03D-4191-9E91-37D6775C278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03D-4191-9E91-37D6775C278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03D-4191-9E91-37D6775C2787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MiR05-Kit#18.02872'!$V$22:$AB$22</c:f>
              <c:numCache>
                <c:formatCode>0.000</c:formatCode>
                <c:ptCount val="7"/>
                <c:pt idx="0">
                  <c:v>17.464998780072715</c:v>
                </c:pt>
                <c:pt idx="1">
                  <c:v>4.4288215941218851</c:v>
                </c:pt>
                <c:pt idx="2">
                  <c:v>13.960769577180436</c:v>
                </c:pt>
                <c:pt idx="3">
                  <c:v>29.945103166236674</c:v>
                </c:pt>
                <c:pt idx="4">
                  <c:v>31.074484240760299</c:v>
                </c:pt>
                <c:pt idx="5">
                  <c:v>30.55330722005063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3D-4191-9E91-37D6775C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B-46ED-B6DA-8CC3B97F236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2B-46ED-B6DA-8CC3B97F236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2B-46ED-B6DA-8CC3B97F236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2B-46ED-B6DA-8CC3B97F236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2B-46ED-B6DA-8CC3B97F236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2B-46ED-B6DA-8CC3B97F236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2B-46ED-B6DA-8CC3B97F236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02B-46ED-B6DA-8CC3B97F23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02B-46ED-B6DA-8CC3B97F236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02B-46ED-B6DA-8CC3B97F236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02B-46ED-B6DA-8CC3B97F2367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2B-46ED-B6DA-8CC3B97F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8.xml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65" name="Rechteck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750739" y="194389"/>
          <a:ext cx="3042167" cy="92569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4</xdr:row>
      <xdr:rowOff>139014</xdr:rowOff>
    </xdr:from>
    <xdr:to>
      <xdr:col>4</xdr:col>
      <xdr:colOff>1013312</xdr:colOff>
      <xdr:row>16</xdr:row>
      <xdr:rowOff>112157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864"/>
          <a:ext cx="5804387" cy="193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29</xdr:row>
      <xdr:rowOff>0</xdr:rowOff>
    </xdr:from>
    <xdr:to>
      <xdr:col>4</xdr:col>
      <xdr:colOff>744498</xdr:colOff>
      <xdr:row>40</xdr:row>
      <xdr:rowOff>29302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97780"/>
          <a:ext cx="5537477" cy="1955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1359899</xdr:colOff>
      <xdr:row>41</xdr:row>
      <xdr:rowOff>160020</xdr:rowOff>
    </xdr:from>
    <xdr:to>
      <xdr:col>4</xdr:col>
      <xdr:colOff>1615440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3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754821" y="190890"/>
          <a:ext cx="3048193" cy="100305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3457575</xdr:colOff>
          <xdr:row>1</xdr:row>
          <xdr:rowOff>152400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161925</xdr:rowOff>
        </xdr:from>
        <xdr:to>
          <xdr:col>8</xdr:col>
          <xdr:colOff>123825</xdr:colOff>
          <xdr:row>5</xdr:row>
          <xdr:rowOff>66675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5.5703125" style="17" customWidth="1"/>
    <col min="14" max="14" width="27.28515625" style="17" customWidth="1"/>
    <col min="15" max="15" width="32.7109375" style="17" bestFit="1" customWidth="1"/>
    <col min="16" max="16" width="16.7109375" style="17" bestFit="1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85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IF(ISNUMBER(V17),IF(VolumeCorr=TRUE,IF(UnknownSampleCheck=FALSE,V17/V23,V17/V23/$M$12),IF(UnknownSampleCheck=FALSE,V17,V17/$M$12)),"")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 t="e">
        <f t="shared" ref="V22:AB22" si="5">V21-$AB$21</f>
        <v>#VALUE!</v>
      </c>
      <c r="W22" s="82" t="e">
        <f t="shared" si="5"/>
        <v>#VALUE!</v>
      </c>
      <c r="X22" s="82" t="e">
        <f t="shared" si="5"/>
        <v>#VALUE!</v>
      </c>
      <c r="Y22" s="82" t="e">
        <f t="shared" si="5"/>
        <v>#VALUE!</v>
      </c>
      <c r="Z22" s="82" t="e">
        <f t="shared" si="5"/>
        <v>#VALUE!</v>
      </c>
      <c r="AA22" s="82" t="e">
        <f t="shared" si="5"/>
        <v>#VALUE!</v>
      </c>
      <c r="AB22" s="82" t="e">
        <f t="shared" si="5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6">IF(ISNUMBER(W8),V23-(V23*W8/1000)/$M$14,V23)</f>
        <v>1</v>
      </c>
      <c r="X23" s="10">
        <f t="shared" si="6"/>
        <v>1</v>
      </c>
      <c r="Y23" s="10">
        <f t="shared" si="6"/>
        <v>1</v>
      </c>
      <c r="Z23" s="10">
        <f t="shared" si="6"/>
        <v>1</v>
      </c>
      <c r="AA23" s="10">
        <f t="shared" si="6"/>
        <v>1</v>
      </c>
      <c r="AB23" s="10">
        <f t="shared" si="6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126" t="s">
        <v>96</v>
      </c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7">W58</f>
        <v>#DIV/0!</v>
      </c>
      <c r="X29" s="139" t="e">
        <f t="shared" si="7"/>
        <v>#DIV/0!</v>
      </c>
      <c r="Y29" s="139" t="e">
        <f t="shared" si="7"/>
        <v>#DIV/0!</v>
      </c>
      <c r="Z29" s="139" t="e">
        <f t="shared" si="7"/>
        <v>#DIV/0!</v>
      </c>
      <c r="AA29" s="139" t="e">
        <f t="shared" si="7"/>
        <v>#DIV/0!</v>
      </c>
      <c r="AB29" s="139" t="e">
        <f t="shared" si="7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 t="str">
        <f t="shared" ref="V30" si="8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9">Z62</f>
        <v/>
      </c>
      <c r="AA30" s="139" t="str">
        <f t="shared" si="9"/>
        <v/>
      </c>
      <c r="AB30" s="139" t="str">
        <f t="shared" si="9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 t="e">
        <f t="shared" ref="V31:AB31" si="10">V30-$V$30</f>
        <v>#VALUE!</v>
      </c>
      <c r="W31" s="139" t="e">
        <f t="shared" si="10"/>
        <v>#VALUE!</v>
      </c>
      <c r="X31" s="139" t="e">
        <f t="shared" si="10"/>
        <v>#VALUE!</v>
      </c>
      <c r="Y31" s="139" t="e">
        <f t="shared" si="10"/>
        <v>#VALUE!</v>
      </c>
      <c r="Z31" s="139" t="e">
        <f t="shared" si="10"/>
        <v>#VALUE!</v>
      </c>
      <c r="AA31" s="139" t="e">
        <f t="shared" si="10"/>
        <v>#VALUE!</v>
      </c>
      <c r="AB31" s="139" t="e">
        <f t="shared" si="10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 t="e">
        <f t="shared" ref="V32:AB32" si="11">V30/V21</f>
        <v>#VALUE!</v>
      </c>
      <c r="W32" s="139" t="e">
        <f t="shared" si="11"/>
        <v>#VALUE!</v>
      </c>
      <c r="X32" s="139" t="e">
        <f t="shared" si="11"/>
        <v>#VALUE!</v>
      </c>
      <c r="Y32" s="139" t="e">
        <f t="shared" si="11"/>
        <v>#VALUE!</v>
      </c>
      <c r="Z32" s="139" t="e">
        <f t="shared" si="11"/>
        <v>#VALUE!</v>
      </c>
      <c r="AA32" s="139" t="e">
        <f t="shared" si="11"/>
        <v>#VALUE!</v>
      </c>
      <c r="AB32" s="139" t="e">
        <f t="shared" si="11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 t="s">
        <v>25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 t="s">
        <v>59</v>
      </c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U53" s="101">
        <f>$W$66*U49+$X$66</f>
        <v>0.1159</v>
      </c>
      <c r="V53" s="101">
        <f t="shared" ref="V53:W53" si="12">$W$66*V49+$X$66</f>
        <v>0.1159</v>
      </c>
      <c r="W53" s="101">
        <f t="shared" si="12"/>
        <v>0.1159</v>
      </c>
      <c r="X53" s="101">
        <f t="shared" ref="X53:AB53" si="13">$W$66*X49+$X$66</f>
        <v>0.1159</v>
      </c>
      <c r="Y53" s="101">
        <f t="shared" si="13"/>
        <v>0.1159</v>
      </c>
      <c r="Z53" s="101">
        <f t="shared" si="13"/>
        <v>0.1159</v>
      </c>
      <c r="AA53" s="101">
        <f t="shared" si="13"/>
        <v>0.1159</v>
      </c>
      <c r="AB53" s="101">
        <f t="shared" si="13"/>
        <v>0.1159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U54" s="102">
        <f t="shared" ref="U54:AB54" si="14">(($X67*U12+$W67)/($X67*$U12+$W67))</f>
        <v>1</v>
      </c>
      <c r="V54" s="102">
        <f t="shared" si="14"/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U56" s="102">
        <f>U54*U53</f>
        <v>0.1159</v>
      </c>
      <c r="V56" s="102">
        <f t="shared" ref="V56:W56" si="15">V54*V53</f>
        <v>0.1159</v>
      </c>
      <c r="W56" s="102">
        <f t="shared" si="15"/>
        <v>0.1159</v>
      </c>
      <c r="X56" s="102">
        <f t="shared" ref="X56:AB56" si="16">X54*X53</f>
        <v>0.1159</v>
      </c>
      <c r="Y56" s="102">
        <f t="shared" si="16"/>
        <v>0.1159</v>
      </c>
      <c r="Z56" s="102">
        <f t="shared" si="16"/>
        <v>0.1159</v>
      </c>
      <c r="AA56" s="102">
        <f t="shared" si="16"/>
        <v>0.1159</v>
      </c>
      <c r="AB56" s="102">
        <f t="shared" si="16"/>
        <v>0.1159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U57" s="102">
        <f>U50-U56</f>
        <v>-0.1159</v>
      </c>
      <c r="V57" s="102">
        <f t="shared" ref="V57:W57" si="17">V50-V56</f>
        <v>-0.1159</v>
      </c>
      <c r="W57" s="102">
        <f t="shared" si="17"/>
        <v>-0.1159</v>
      </c>
      <c r="X57" s="102">
        <f t="shared" ref="X57:AB57" si="18">X50-X56</f>
        <v>-0.1159</v>
      </c>
      <c r="Y57" s="102">
        <f t="shared" si="18"/>
        <v>-0.1159</v>
      </c>
      <c r="Z57" s="102">
        <f t="shared" si="18"/>
        <v>-0.1159</v>
      </c>
      <c r="AA57" s="102">
        <f t="shared" si="18"/>
        <v>-0.1159</v>
      </c>
      <c r="AB57" s="102">
        <f t="shared" si="18"/>
        <v>-0.1159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9">W57/W36</f>
        <v>#DIV/0!</v>
      </c>
      <c r="X58" s="103" t="e">
        <f t="shared" si="19"/>
        <v>#DIV/0!</v>
      </c>
      <c r="Y58" s="103" t="e">
        <f t="shared" si="19"/>
        <v>#DIV/0!</v>
      </c>
      <c r="Z58" s="103" t="e">
        <f t="shared" si="19"/>
        <v>#DIV/0!</v>
      </c>
      <c r="AA58" s="103" t="e">
        <f t="shared" si="19"/>
        <v>#DIV/0!</v>
      </c>
      <c r="AB58" s="103" t="e">
        <f t="shared" si="19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U62" s="107"/>
      <c r="V62" s="107" t="str">
        <f t="shared" ref="V62:AB62" si="20">IF(ISNUMBER(V58),IF(VolumeCorr=TRUE,IF(UnknownSampleCheck=TRUE,V58/V23,V58/V23/$M$12),IF(UnknownSampleCheck=TRUE,V58,V58/$M$12)),"")</f>
        <v/>
      </c>
      <c r="W62" s="107" t="str">
        <f t="shared" si="20"/>
        <v/>
      </c>
      <c r="X62" s="107" t="str">
        <f t="shared" si="20"/>
        <v/>
      </c>
      <c r="Y62" s="107" t="str">
        <f t="shared" si="20"/>
        <v/>
      </c>
      <c r="Z62" s="107" t="str">
        <f t="shared" si="20"/>
        <v/>
      </c>
      <c r="AA62" s="107" t="str">
        <f t="shared" si="20"/>
        <v/>
      </c>
      <c r="AB62" s="107" t="str">
        <f t="shared" si="20"/>
        <v/>
      </c>
      <c r="AS62" s="39"/>
      <c r="AX62" s="48"/>
    </row>
    <row r="63" spans="1:53" s="30" customFormat="1" x14ac:dyDescent="0.2">
      <c r="I63" s="17"/>
      <c r="L63" s="17"/>
      <c r="M63" s="177"/>
      <c r="N63" s="178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S65" s="39"/>
      <c r="AX65" s="48"/>
    </row>
    <row r="66" spans="9:52" s="30" customFormat="1" ht="14.25" x14ac:dyDescent="0.2">
      <c r="I66" s="17"/>
      <c r="L66" s="17"/>
      <c r="M66" s="184" t="s">
        <v>127</v>
      </c>
      <c r="N66" s="193" t="s">
        <v>128</v>
      </c>
      <c r="O66" s="193"/>
      <c r="U66" s="156"/>
      <c r="V66" s="156"/>
      <c r="W66" s="187">
        <v>8.2000000000000007E-3</v>
      </c>
      <c r="X66" s="187">
        <v>0.1159</v>
      </c>
      <c r="Y66" s="116" t="s">
        <v>98</v>
      </c>
      <c r="Z66" s="116"/>
      <c r="AA66" s="116"/>
      <c r="AB66" s="116"/>
      <c r="AC66" s="116"/>
      <c r="AD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U67" s="156"/>
      <c r="V67" s="156"/>
      <c r="W67" s="157">
        <v>2.0000000000000001E-4</v>
      </c>
      <c r="X67" s="157">
        <v>6.7000000000000004E-2</v>
      </c>
      <c r="Y67" s="158"/>
      <c r="Z67" s="158"/>
      <c r="AA67" s="158"/>
      <c r="AB67" s="158"/>
      <c r="AC67" s="2"/>
      <c r="AD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752B-C354-496E-89DC-26D31B3BC668}">
  <dimension ref="A1:BH129"/>
  <sheetViews>
    <sheetView showGridLines="0" tabSelected="1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3.42578125" style="17" customWidth="1"/>
    <col min="14" max="14" width="27.28515625" style="17" customWidth="1"/>
    <col min="15" max="15" width="18.7109375" style="17" customWidth="1"/>
    <col min="16" max="16" width="11.8554687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 t="s">
        <v>93</v>
      </c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 t="s">
        <v>66</v>
      </c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 t="s">
        <v>22</v>
      </c>
      <c r="M5" s="45" t="s">
        <v>67</v>
      </c>
      <c r="N5" s="46" t="s">
        <v>68</v>
      </c>
      <c r="O5" s="47" t="s">
        <v>23</v>
      </c>
      <c r="P5" s="47" t="s">
        <v>24</v>
      </c>
      <c r="Q5" s="47">
        <v>2423</v>
      </c>
      <c r="R5" s="47" t="s">
        <v>25</v>
      </c>
      <c r="S5" s="47" t="s">
        <v>26</v>
      </c>
      <c r="T5" s="47" t="s">
        <v>27</v>
      </c>
      <c r="U5" s="47" t="s">
        <v>21</v>
      </c>
      <c r="V5" s="47" t="s">
        <v>20</v>
      </c>
      <c r="W5" s="47" t="s">
        <v>15</v>
      </c>
      <c r="X5" s="47" t="s">
        <v>7</v>
      </c>
      <c r="Y5" s="47" t="s">
        <v>4</v>
      </c>
      <c r="Z5" s="47" t="s">
        <v>8</v>
      </c>
      <c r="AA5" s="47" t="s">
        <v>18</v>
      </c>
      <c r="AB5" s="47" t="s">
        <v>19</v>
      </c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 t="s">
        <v>28</v>
      </c>
      <c r="M6" s="50" t="s">
        <v>65</v>
      </c>
      <c r="N6" s="47"/>
      <c r="O6" s="47" t="s">
        <v>29</v>
      </c>
      <c r="P6" s="47">
        <v>37</v>
      </c>
      <c r="Q6" s="47" t="s">
        <v>30</v>
      </c>
      <c r="R6" s="47"/>
      <c r="S6" s="47" t="s">
        <v>31</v>
      </c>
      <c r="T6" s="47"/>
      <c r="U6" s="51" t="s">
        <v>32</v>
      </c>
      <c r="V6" s="51" t="s">
        <v>69</v>
      </c>
      <c r="W6" s="51" t="s">
        <v>33</v>
      </c>
      <c r="X6" s="51" t="s">
        <v>34</v>
      </c>
      <c r="Y6" s="51" t="s">
        <v>35</v>
      </c>
      <c r="Z6" s="51" t="s">
        <v>70</v>
      </c>
      <c r="AA6" s="51" t="s">
        <v>35</v>
      </c>
      <c r="AB6" s="51" t="s">
        <v>33</v>
      </c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 t="s">
        <v>36</v>
      </c>
      <c r="M7" s="50" t="s">
        <v>71</v>
      </c>
      <c r="N7" s="47"/>
      <c r="O7" s="47" t="s">
        <v>37</v>
      </c>
      <c r="P7" s="47">
        <v>181.99</v>
      </c>
      <c r="Q7" s="47" t="s">
        <v>38</v>
      </c>
      <c r="R7" s="47"/>
      <c r="S7" s="47" t="s">
        <v>39</v>
      </c>
      <c r="T7" s="47"/>
      <c r="U7" s="56">
        <v>0</v>
      </c>
      <c r="V7" s="56">
        <v>0</v>
      </c>
      <c r="W7" s="56">
        <v>8.1000000000000003E-2</v>
      </c>
      <c r="X7" s="56">
        <v>10</v>
      </c>
      <c r="Y7" s="56">
        <v>2.5001000000000002</v>
      </c>
      <c r="Z7" s="56">
        <v>5</v>
      </c>
      <c r="AA7" s="56">
        <v>0.5</v>
      </c>
      <c r="AB7" s="56">
        <v>2.6</v>
      </c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 t="s">
        <v>40</v>
      </c>
      <c r="M8" s="50" t="s">
        <v>72</v>
      </c>
      <c r="N8" s="57"/>
      <c r="O8" s="47" t="s">
        <v>41</v>
      </c>
      <c r="P8" s="47">
        <v>2.0072999999999999</v>
      </c>
      <c r="Q8" s="47" t="s">
        <v>42</v>
      </c>
      <c r="R8" s="47"/>
      <c r="S8" s="47" t="s">
        <v>43</v>
      </c>
      <c r="T8" s="47"/>
      <c r="U8" s="56">
        <v>0</v>
      </c>
      <c r="V8" s="56">
        <v>0</v>
      </c>
      <c r="W8" s="56">
        <v>7</v>
      </c>
      <c r="X8" s="56">
        <v>20</v>
      </c>
      <c r="Y8" s="56">
        <v>15</v>
      </c>
      <c r="Z8" s="56">
        <v>5</v>
      </c>
      <c r="AA8" s="56">
        <v>1</v>
      </c>
      <c r="AB8" s="56">
        <v>6</v>
      </c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 t="s">
        <v>44</v>
      </c>
      <c r="M9" s="50" t="s">
        <v>73</v>
      </c>
      <c r="N9" s="57"/>
      <c r="O9" s="47" t="s">
        <v>45</v>
      </c>
      <c r="P9" s="47">
        <v>5.8200000000000002E-2</v>
      </c>
      <c r="Q9" s="47" t="s">
        <v>42</v>
      </c>
      <c r="R9" s="47"/>
      <c r="S9" s="47" t="s">
        <v>46</v>
      </c>
      <c r="T9" s="47"/>
      <c r="U9" s="57">
        <v>2.0833333333333335E-4</v>
      </c>
      <c r="V9" s="57">
        <v>2.673611111111111E-3</v>
      </c>
      <c r="W9" s="57">
        <v>1.0231481481481482E-2</v>
      </c>
      <c r="X9" s="57">
        <v>1.4675925925925926E-2</v>
      </c>
      <c r="Y9" s="57">
        <v>2.1504629629629627E-2</v>
      </c>
      <c r="Z9" s="57">
        <v>2.3043981481481481E-2</v>
      </c>
      <c r="AA9" s="57">
        <v>2.4814814814814817E-2</v>
      </c>
      <c r="AB9" s="57">
        <v>2.960648148148148E-2</v>
      </c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 t="s">
        <v>47</v>
      </c>
      <c r="M10" s="45">
        <v>1</v>
      </c>
      <c r="N10" s="58"/>
      <c r="O10" s="47" t="s">
        <v>48</v>
      </c>
      <c r="P10" s="47">
        <v>95.7</v>
      </c>
      <c r="Q10" s="47" t="s">
        <v>49</v>
      </c>
      <c r="R10" s="47"/>
      <c r="S10" s="47" t="s">
        <v>50</v>
      </c>
      <c r="T10" s="47"/>
      <c r="U10" s="56">
        <v>5.3240740740740744E-4</v>
      </c>
      <c r="V10" s="56">
        <v>3.4490740740740745E-3</v>
      </c>
      <c r="W10" s="56">
        <v>1.2430555555555554E-2</v>
      </c>
      <c r="X10" s="56">
        <v>1.6076388888888887E-2</v>
      </c>
      <c r="Y10" s="56">
        <v>2.2175925925925929E-2</v>
      </c>
      <c r="Z10" s="56">
        <v>2.4305555555555556E-2</v>
      </c>
      <c r="AA10" s="56">
        <v>2.6018518518518521E-2</v>
      </c>
      <c r="AB10" s="56">
        <v>3.0983796296296297E-2</v>
      </c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 t="s">
        <v>51</v>
      </c>
      <c r="M11" s="45">
        <v>1</v>
      </c>
      <c r="N11" s="58"/>
      <c r="O11" s="47" t="s">
        <v>52</v>
      </c>
      <c r="P11" s="47">
        <v>0.92</v>
      </c>
      <c r="Q11" s="47"/>
      <c r="R11" s="47"/>
      <c r="S11" s="47" t="s">
        <v>53</v>
      </c>
      <c r="T11" s="47"/>
      <c r="U11" s="56">
        <v>14</v>
      </c>
      <c r="V11" s="56">
        <v>33</v>
      </c>
      <c r="W11" s="56">
        <v>95</v>
      </c>
      <c r="X11" s="56">
        <v>61</v>
      </c>
      <c r="Y11" s="56">
        <v>28</v>
      </c>
      <c r="Z11" s="56">
        <v>54</v>
      </c>
      <c r="AA11" s="56">
        <v>51</v>
      </c>
      <c r="AB11" s="56">
        <v>59</v>
      </c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 t="s">
        <v>3</v>
      </c>
      <c r="M12" s="63">
        <v>1.5</v>
      </c>
      <c r="N12" s="47" t="s">
        <v>54</v>
      </c>
      <c r="O12" s="47" t="s">
        <v>1</v>
      </c>
      <c r="P12" s="47" t="s">
        <v>55</v>
      </c>
      <c r="Q12" s="47"/>
      <c r="R12" s="47"/>
      <c r="S12" s="46" t="s">
        <v>63</v>
      </c>
      <c r="T12" s="46" t="s">
        <v>38</v>
      </c>
      <c r="U12" s="64">
        <v>173.00139999999999</v>
      </c>
      <c r="V12" s="64">
        <v>163.614</v>
      </c>
      <c r="W12" s="64">
        <v>152.05959999999999</v>
      </c>
      <c r="X12" s="64">
        <v>147.89449999999999</v>
      </c>
      <c r="Y12" s="64">
        <v>124.3356</v>
      </c>
      <c r="Z12" s="64">
        <v>117.24850000000001</v>
      </c>
      <c r="AA12" s="64">
        <v>109.88679999999999</v>
      </c>
      <c r="AB12" s="64">
        <v>107.1221</v>
      </c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 t="s">
        <v>56</v>
      </c>
      <c r="M13" s="47">
        <v>3</v>
      </c>
      <c r="N13" s="47" t="s">
        <v>57</v>
      </c>
      <c r="O13" s="47" t="s">
        <v>58</v>
      </c>
      <c r="P13" s="47">
        <v>-2.2078000000000002</v>
      </c>
      <c r="Q13" s="47" t="s">
        <v>13</v>
      </c>
      <c r="R13" s="47" t="s">
        <v>59</v>
      </c>
      <c r="S13" s="46" t="s">
        <v>77</v>
      </c>
      <c r="T13" s="46" t="s">
        <v>13</v>
      </c>
      <c r="U13" s="65">
        <v>2.1008</v>
      </c>
      <c r="V13" s="65">
        <v>30.064800000000002</v>
      </c>
      <c r="W13" s="65">
        <v>10.177199999999999</v>
      </c>
      <c r="X13" s="65">
        <v>24.089200000000002</v>
      </c>
      <c r="Y13" s="65">
        <v>46.777799999999999</v>
      </c>
      <c r="Z13" s="65">
        <v>48.131700000000002</v>
      </c>
      <c r="AA13" s="65">
        <v>47.151299999999999</v>
      </c>
      <c r="AB13" s="65">
        <v>2.3342000000000001</v>
      </c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 t="s">
        <v>60</v>
      </c>
      <c r="M14" s="47">
        <v>2</v>
      </c>
      <c r="N14" s="47" t="s">
        <v>16</v>
      </c>
      <c r="O14" s="47" t="s">
        <v>61</v>
      </c>
      <c r="P14" s="47">
        <v>2.63E-2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>
        <f>IF(ISNUMBER(V13),V13-($P$14*V12+$P$13),"")</f>
        <v>27.969551800000001</v>
      </c>
      <c r="W17" s="9">
        <f t="shared" ref="W17:AB17" si="0">IF(ISNUMBER(W13),W13-($P$14*W12+$P$13),"")</f>
        <v>8.3858325199999992</v>
      </c>
      <c r="X17" s="9">
        <f t="shared" si="0"/>
        <v>22.407374650000001</v>
      </c>
      <c r="Y17" s="9">
        <f t="shared" si="0"/>
        <v>45.715573720000002</v>
      </c>
      <c r="Z17" s="9">
        <f t="shared" si="0"/>
        <v>47.255864450000004</v>
      </c>
      <c r="AA17" s="9">
        <f t="shared" si="0"/>
        <v>46.469077159999998</v>
      </c>
      <c r="AB17" s="9">
        <f t="shared" si="0"/>
        <v>1.7246887700000002</v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>
        <f>V17-$AB$17</f>
        <v>26.244863030000001</v>
      </c>
      <c r="W18" s="9">
        <f t="shared" ref="W18:AB18" si="1">W17-$AB$17</f>
        <v>6.661143749999999</v>
      </c>
      <c r="X18" s="9">
        <f t="shared" si="1"/>
        <v>20.682685880000001</v>
      </c>
      <c r="Y18" s="9">
        <f t="shared" si="1"/>
        <v>43.990884950000002</v>
      </c>
      <c r="Z18" s="9">
        <f t="shared" si="1"/>
        <v>45.531175680000004</v>
      </c>
      <c r="AA18" s="9">
        <f t="shared" si="1"/>
        <v>44.744388389999997</v>
      </c>
      <c r="AB18" s="9">
        <f t="shared" si="1"/>
        <v>0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>
        <f>V21/$Z$21</f>
        <v>0.57807702922724424</v>
      </c>
      <c r="W19" s="75">
        <f t="shared" ref="W19:AB19" si="2">W21/$Z$21</f>
        <v>0.17392783330764255</v>
      </c>
      <c r="X19" s="75">
        <f t="shared" si="2"/>
        <v>0.46943847710682796</v>
      </c>
      <c r="Y19" s="75">
        <f t="shared" si="2"/>
        <v>0.964986786644213</v>
      </c>
      <c r="Z19" s="75">
        <f t="shared" si="2"/>
        <v>1</v>
      </c>
      <c r="AA19" s="75">
        <f t="shared" si="2"/>
        <v>0.9838424048057135</v>
      </c>
      <c r="AB19" s="75">
        <f t="shared" si="2"/>
        <v>3.6624952209591818E-2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135</v>
      </c>
      <c r="N20" s="74"/>
      <c r="O20" s="74"/>
      <c r="P20" s="74"/>
      <c r="Q20" s="74"/>
      <c r="R20" s="74"/>
      <c r="S20" s="74"/>
      <c r="T20" s="74"/>
      <c r="U20" s="74"/>
      <c r="V20" s="75">
        <f>V22/$Z$22</f>
        <v>0.56203664217744065</v>
      </c>
      <c r="W20" s="75">
        <f t="shared" ref="W20:AB20" si="3">W22/$Z$22</f>
        <v>0.1425227707661392</v>
      </c>
      <c r="X20" s="75">
        <f t="shared" si="3"/>
        <v>0.44926794179477131</v>
      </c>
      <c r="Y20" s="75">
        <f t="shared" si="3"/>
        <v>0.96365567757220505</v>
      </c>
      <c r="Z20" s="75">
        <f t="shared" si="3"/>
        <v>1</v>
      </c>
      <c r="AA20" s="75">
        <f t="shared" si="3"/>
        <v>0.98322813609160264</v>
      </c>
      <c r="AB20" s="75">
        <f t="shared" si="3"/>
        <v>0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>
        <f t="shared" ref="V21:AB21" si="4">IF(ISNUMBER(V17),IF(VolumeC=TRUE,IF(UnknownSample=FALSE,V17/V23,V17/V23/$M$12),IF(UnknownSample=FALSE,V17,V17/$M$12)),"")</f>
        <v>18.646367866666669</v>
      </c>
      <c r="W21" s="82">
        <f t="shared" si="4"/>
        <v>5.6101906807158377</v>
      </c>
      <c r="X21" s="82">
        <f t="shared" si="4"/>
        <v>15.142138663774389</v>
      </c>
      <c r="Y21" s="82">
        <f t="shared" si="4"/>
        <v>31.126472252830627</v>
      </c>
      <c r="Z21" s="82">
        <f t="shared" si="4"/>
        <v>32.255853327354252</v>
      </c>
      <c r="AA21" s="82">
        <f t="shared" si="4"/>
        <v>31.734676306644584</v>
      </c>
      <c r="AB21" s="82">
        <f t="shared" si="4"/>
        <v>1.1813690865939528</v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>
        <f>V21-$AB$21</f>
        <v>17.464998780072715</v>
      </c>
      <c r="W22" s="82">
        <f t="shared" ref="W22:AB22" si="6">W21-$AB$21</f>
        <v>4.4288215941218851</v>
      </c>
      <c r="X22" s="82">
        <f t="shared" si="6"/>
        <v>13.960769577180436</v>
      </c>
      <c r="Y22" s="82">
        <f t="shared" si="6"/>
        <v>29.945103166236674</v>
      </c>
      <c r="Z22" s="82">
        <f t="shared" si="6"/>
        <v>31.074484240760299</v>
      </c>
      <c r="AA22" s="82">
        <f t="shared" si="6"/>
        <v>30.55330722005063</v>
      </c>
      <c r="AB22" s="82">
        <f t="shared" si="6"/>
        <v>0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0.99650000000000005</v>
      </c>
      <c r="X23" s="10">
        <f t="shared" ref="X23:AB23" si="7">IF(ISNUMBER(X8),W23-(W23*X8/1000)/$M$14,W23)</f>
        <v>0.98653500000000005</v>
      </c>
      <c r="Y23" s="10">
        <f t="shared" si="7"/>
        <v>0.97913598750000008</v>
      </c>
      <c r="Z23" s="10">
        <f t="shared" si="7"/>
        <v>0.97668814753125011</v>
      </c>
      <c r="AA23" s="10">
        <f t="shared" si="7"/>
        <v>0.97619980345748447</v>
      </c>
      <c r="AB23" s="10">
        <f t="shared" si="7"/>
        <v>0.97327120404711198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96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23"/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>
        <f>V58</f>
        <v>0.16005702638411765</v>
      </c>
      <c r="W29" s="139">
        <f t="shared" ref="W29:AB29" si="8">W58</f>
        <v>0.26544459655371261</v>
      </c>
      <c r="X29" s="139">
        <f t="shared" si="8"/>
        <v>0.30496130211582517</v>
      </c>
      <c r="Y29" s="139">
        <f t="shared" si="8"/>
        <v>0.27987738280484054</v>
      </c>
      <c r="Z29" s="139">
        <f t="shared" si="8"/>
        <v>0.27861474869466824</v>
      </c>
      <c r="AA29" s="139">
        <f t="shared" si="8"/>
        <v>0.28312051309289055</v>
      </c>
      <c r="AB29" s="139">
        <f t="shared" si="8"/>
        <v>0.32514223074603577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>
        <f t="shared" ref="V30" si="9">V62</f>
        <v>0.16005702638411765</v>
      </c>
      <c r="W30" s="139">
        <f>W62</f>
        <v>0.26637691575886863</v>
      </c>
      <c r="X30" s="139">
        <f>X62</f>
        <v>0.3091236520912336</v>
      </c>
      <c r="Y30" s="139">
        <f>Y62</f>
        <v>0.28584117668827946</v>
      </c>
      <c r="Z30" s="139">
        <f t="shared" ref="Z30:AB30" si="10">Z62</f>
        <v>0.28526479961788792</v>
      </c>
      <c r="AA30" s="139">
        <f t="shared" si="10"/>
        <v>0.29002312035931588</v>
      </c>
      <c r="AB30" s="139">
        <f t="shared" si="10"/>
        <v>0.334071561342831</v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>
        <f>V30-$V$30</f>
        <v>0</v>
      </c>
      <c r="W31" s="139">
        <f t="shared" ref="W31:AB31" si="11">W30-$V$30</f>
        <v>0.10631988937475098</v>
      </c>
      <c r="X31" s="139">
        <f t="shared" si="11"/>
        <v>0.14906662570711596</v>
      </c>
      <c r="Y31" s="139">
        <f t="shared" si="11"/>
        <v>0.12578415030416182</v>
      </c>
      <c r="Z31" s="139">
        <f t="shared" si="11"/>
        <v>0.12520777323377028</v>
      </c>
      <c r="AA31" s="139">
        <f t="shared" si="11"/>
        <v>0.12996609397519823</v>
      </c>
      <c r="AB31" s="139">
        <f t="shared" si="11"/>
        <v>0.17401453495871336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>
        <f>V30/V21</f>
        <v>8.5838179064484134E-3</v>
      </c>
      <c r="W32" s="139">
        <f t="shared" ref="W32:AB32" si="12">W30/W21</f>
        <v>4.7480902329130818E-2</v>
      </c>
      <c r="X32" s="139">
        <f t="shared" si="12"/>
        <v>2.041479469678692E-2</v>
      </c>
      <c r="Y32" s="139">
        <f t="shared" si="12"/>
        <v>9.183217884972018E-3</v>
      </c>
      <c r="Z32" s="139">
        <f t="shared" si="12"/>
        <v>8.8438150038328694E-3</v>
      </c>
      <c r="AA32" s="139">
        <f t="shared" si="12"/>
        <v>9.1389972772021322E-3</v>
      </c>
      <c r="AB32" s="139">
        <f t="shared" si="12"/>
        <v>0.28278339524356827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>
        <v>2.1762000000000001</v>
      </c>
      <c r="V36" s="93">
        <v>1.4367000000000001</v>
      </c>
      <c r="W36" s="93">
        <v>1.4367000000000001</v>
      </c>
      <c r="X36" s="93">
        <v>1.4367000000000001</v>
      </c>
      <c r="Y36" s="93">
        <v>1.3712</v>
      </c>
      <c r="Z36" s="93">
        <v>1.3712</v>
      </c>
      <c r="AA36" s="93">
        <v>1.3712</v>
      </c>
      <c r="AB36" s="93">
        <v>1.4247000000000001</v>
      </c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 t="s">
        <v>66</v>
      </c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 t="s">
        <v>22</v>
      </c>
      <c r="M42" s="45" t="s">
        <v>67</v>
      </c>
      <c r="N42" s="46" t="s">
        <v>68</v>
      </c>
      <c r="O42" s="47"/>
      <c r="P42" s="47"/>
      <c r="Q42" s="47"/>
      <c r="R42" s="47" t="s">
        <v>25</v>
      </c>
      <c r="S42" s="47" t="s">
        <v>26</v>
      </c>
      <c r="T42" s="47" t="s">
        <v>27</v>
      </c>
      <c r="U42" s="47" t="s">
        <v>21</v>
      </c>
      <c r="V42" s="47" t="s">
        <v>20</v>
      </c>
      <c r="W42" s="47" t="s">
        <v>15</v>
      </c>
      <c r="X42" s="47" t="s">
        <v>7</v>
      </c>
      <c r="Y42" s="47" t="s">
        <v>4</v>
      </c>
      <c r="Z42" s="47" t="s">
        <v>8</v>
      </c>
      <c r="AA42" s="47" t="s">
        <v>18</v>
      </c>
      <c r="AB42" s="47" t="s">
        <v>19</v>
      </c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 t="s">
        <v>28</v>
      </c>
      <c r="M43" s="50" t="s">
        <v>65</v>
      </c>
      <c r="N43" s="47"/>
      <c r="O43" s="47"/>
      <c r="P43" s="47"/>
      <c r="Q43" s="47"/>
      <c r="R43" s="47"/>
      <c r="S43" s="47" t="s">
        <v>31</v>
      </c>
      <c r="T43" s="47"/>
      <c r="U43" s="51" t="s">
        <v>62</v>
      </c>
      <c r="V43" s="51" t="s">
        <v>74</v>
      </c>
      <c r="W43" s="51" t="s">
        <v>33</v>
      </c>
      <c r="X43" s="51" t="s">
        <v>34</v>
      </c>
      <c r="Y43" s="51" t="s">
        <v>35</v>
      </c>
      <c r="Z43" s="51" t="s">
        <v>70</v>
      </c>
      <c r="AA43" s="51" t="s">
        <v>35</v>
      </c>
      <c r="AB43" s="51" t="s">
        <v>33</v>
      </c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 t="s">
        <v>36</v>
      </c>
      <c r="M44" s="50" t="s">
        <v>71</v>
      </c>
      <c r="N44" s="47"/>
      <c r="O44" s="47"/>
      <c r="P44" s="47"/>
      <c r="Q44" s="47"/>
      <c r="R44" s="47"/>
      <c r="S44" s="47" t="s">
        <v>39</v>
      </c>
      <c r="T44" s="47"/>
      <c r="U44" s="57">
        <v>0</v>
      </c>
      <c r="V44" s="57">
        <v>0</v>
      </c>
      <c r="W44" s="57">
        <v>8.0999999999999996E-3</v>
      </c>
      <c r="X44" s="57">
        <v>10</v>
      </c>
      <c r="Y44" s="57">
        <v>2.5001000000000002</v>
      </c>
      <c r="Z44" s="57">
        <v>5</v>
      </c>
      <c r="AA44" s="57">
        <v>0.5</v>
      </c>
      <c r="AB44" s="57">
        <v>2.6</v>
      </c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 t="s">
        <v>40</v>
      </c>
      <c r="M45" s="50" t="s">
        <v>72</v>
      </c>
      <c r="N45" s="57"/>
      <c r="O45" s="47"/>
      <c r="P45" s="47"/>
      <c r="Q45" s="47"/>
      <c r="R45" s="47"/>
      <c r="S45" s="47" t="s">
        <v>43</v>
      </c>
      <c r="T45" s="47"/>
      <c r="U45" s="57">
        <v>0</v>
      </c>
      <c r="V45" s="57">
        <v>0</v>
      </c>
      <c r="W45" s="57">
        <v>7</v>
      </c>
      <c r="X45" s="57">
        <v>20</v>
      </c>
      <c r="Y45" s="57">
        <v>15</v>
      </c>
      <c r="Z45" s="57">
        <v>5</v>
      </c>
      <c r="AA45" s="57">
        <v>1</v>
      </c>
      <c r="AB45" s="57">
        <v>6</v>
      </c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 t="s">
        <v>44</v>
      </c>
      <c r="M46" s="50" t="s">
        <v>73</v>
      </c>
      <c r="N46" s="57"/>
      <c r="O46" s="47"/>
      <c r="P46" s="47"/>
      <c r="Q46" s="47"/>
      <c r="R46" s="47"/>
      <c r="S46" s="47" t="s">
        <v>46</v>
      </c>
      <c r="T46" s="47"/>
      <c r="U46" s="57">
        <v>2.5462962962962961E-4</v>
      </c>
      <c r="V46" s="57">
        <v>2.1990740740740742E-3</v>
      </c>
      <c r="W46" s="57">
        <v>1.0625000000000001E-2</v>
      </c>
      <c r="X46" s="57">
        <v>1.4699074074074074E-2</v>
      </c>
      <c r="Y46" s="57">
        <v>2.1516203703703704E-2</v>
      </c>
      <c r="Z46" s="57">
        <v>2.298611111111111E-2</v>
      </c>
      <c r="AA46" s="57">
        <v>2.4872685185185189E-2</v>
      </c>
      <c r="AB46" s="57">
        <v>3.0092592592592591E-2</v>
      </c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 t="s">
        <v>47</v>
      </c>
      <c r="M47" s="97">
        <v>1</v>
      </c>
      <c r="N47" s="98"/>
      <c r="O47" s="47"/>
      <c r="P47" s="47"/>
      <c r="Q47" s="47"/>
      <c r="R47" s="47"/>
      <c r="S47" s="47" t="s">
        <v>50</v>
      </c>
      <c r="T47" s="47"/>
      <c r="U47" s="99">
        <v>6.018518518518519E-4</v>
      </c>
      <c r="V47" s="99">
        <v>3.2638888888888891E-3</v>
      </c>
      <c r="W47" s="99">
        <v>1.2777777777777777E-2</v>
      </c>
      <c r="X47" s="99">
        <v>1.5972222222222224E-2</v>
      </c>
      <c r="Y47" s="99">
        <v>2.2187499999999999E-2</v>
      </c>
      <c r="Z47" s="99">
        <v>2.4444444444444446E-2</v>
      </c>
      <c r="AA47" s="99">
        <v>2.5740740740740745E-2</v>
      </c>
      <c r="AB47" s="99">
        <v>3.1944444444444449E-2</v>
      </c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 t="s">
        <v>51</v>
      </c>
      <c r="M48" s="97">
        <v>1</v>
      </c>
      <c r="N48" s="98"/>
      <c r="O48" s="47"/>
      <c r="P48" s="47"/>
      <c r="Q48" s="47"/>
      <c r="R48" s="47"/>
      <c r="S48" s="47" t="s">
        <v>53</v>
      </c>
      <c r="T48" s="47"/>
      <c r="U48" s="99">
        <v>15</v>
      </c>
      <c r="V48" s="99">
        <v>46</v>
      </c>
      <c r="W48" s="99">
        <v>93</v>
      </c>
      <c r="X48" s="99">
        <v>55</v>
      </c>
      <c r="Y48" s="99">
        <v>29</v>
      </c>
      <c r="Z48" s="99">
        <v>64</v>
      </c>
      <c r="AA48" s="99">
        <v>37</v>
      </c>
      <c r="AB48" s="99">
        <v>79</v>
      </c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 t="s">
        <v>3</v>
      </c>
      <c r="M49" s="47">
        <v>1.5</v>
      </c>
      <c r="N49" s="47" t="s">
        <v>54</v>
      </c>
      <c r="O49" s="47" t="s">
        <v>1</v>
      </c>
      <c r="P49" s="47" t="s">
        <v>55</v>
      </c>
      <c r="Q49" s="47"/>
      <c r="R49" s="47"/>
      <c r="S49" s="46" t="s">
        <v>75</v>
      </c>
      <c r="T49" s="46" t="s">
        <v>42</v>
      </c>
      <c r="U49" s="100">
        <v>0.79690000000000005</v>
      </c>
      <c r="V49" s="100">
        <v>0.68859999999999999</v>
      </c>
      <c r="W49" s="100">
        <v>1.1319999999999999</v>
      </c>
      <c r="X49" s="100">
        <v>1.3159000000000001</v>
      </c>
      <c r="Y49" s="100">
        <v>1.6484000000000001</v>
      </c>
      <c r="Z49" s="100">
        <v>1.7125999999999999</v>
      </c>
      <c r="AA49" s="100">
        <v>1.7707999999999999</v>
      </c>
      <c r="AB49" s="100">
        <v>2.1880000000000002</v>
      </c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 t="s">
        <v>56</v>
      </c>
      <c r="M50" s="47">
        <v>3</v>
      </c>
      <c r="N50" s="47" t="s">
        <v>57</v>
      </c>
      <c r="O50" s="47"/>
      <c r="P50" s="47"/>
      <c r="Q50" s="47"/>
      <c r="R50" s="47" t="s">
        <v>59</v>
      </c>
      <c r="S50" s="46" t="s">
        <v>76</v>
      </c>
      <c r="T50" s="46" t="s">
        <v>14</v>
      </c>
      <c r="U50" s="100">
        <v>0.23699999999999999</v>
      </c>
      <c r="V50" s="100">
        <v>0.30349999999999999</v>
      </c>
      <c r="W50" s="100">
        <v>0.442</v>
      </c>
      <c r="X50" s="100">
        <v>0.49399999999999999</v>
      </c>
      <c r="Y50" s="100">
        <v>0.42599999999999999</v>
      </c>
      <c r="Z50" s="100">
        <v>0.42099999999999999</v>
      </c>
      <c r="AA50" s="100">
        <v>0.42399999999999999</v>
      </c>
      <c r="AB50" s="100">
        <v>0.49299999999999999</v>
      </c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 t="s">
        <v>60</v>
      </c>
      <c r="M51" s="97">
        <v>2</v>
      </c>
      <c r="N51" s="98" t="s">
        <v>16</v>
      </c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U53" s="101">
        <f>$W$66*U49+$X$66</f>
        <v>7.5621379999999988E-2</v>
      </c>
      <c r="V53" s="101">
        <f t="shared" ref="V53:AB53" si="13">$W$66*V49+$X$66</f>
        <v>7.7765719999999997E-2</v>
      </c>
      <c r="W53" s="101">
        <f t="shared" si="13"/>
        <v>6.8986400000000003E-2</v>
      </c>
      <c r="X53" s="101">
        <f t="shared" si="13"/>
        <v>6.5345179999999989E-2</v>
      </c>
      <c r="Y53" s="101">
        <f t="shared" si="13"/>
        <v>5.876167999999999E-2</v>
      </c>
      <c r="Z53" s="101">
        <f t="shared" si="13"/>
        <v>5.7490519999999996E-2</v>
      </c>
      <c r="AA53" s="101">
        <f t="shared" si="13"/>
        <v>5.6338159999999991E-2</v>
      </c>
      <c r="AB53" s="101">
        <f t="shared" si="13"/>
        <v>4.8077599999999991E-2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U54" s="102">
        <f>(($X67*U12+$W67)/($X67*$U12+$W67))</f>
        <v>1</v>
      </c>
      <c r="V54" s="102">
        <f>(($X67*V12+$W67)/($X67*$U12+$W67))</f>
        <v>0.94573894762291344</v>
      </c>
      <c r="W54" s="102">
        <f t="shared" ref="W54:AB54" si="14">(($X67*W12+$W67)/($X67*$U12+$W67))</f>
        <v>0.8789522011770593</v>
      </c>
      <c r="X54" s="102">
        <f t="shared" si="14"/>
        <v>0.85487708887164948</v>
      </c>
      <c r="Y54" s="102">
        <f t="shared" si="14"/>
        <v>0.71870192782103415</v>
      </c>
      <c r="Z54" s="102">
        <f t="shared" si="14"/>
        <v>0.67773707021385332</v>
      </c>
      <c r="AA54" s="102">
        <f t="shared" si="14"/>
        <v>0.63518496960192672</v>
      </c>
      <c r="AB54" s="102">
        <f t="shared" si="14"/>
        <v>0.6192044498087006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U56" s="102">
        <f>U54*U53</f>
        <v>7.5621379999999988E-2</v>
      </c>
      <c r="V56" s="102">
        <f t="shared" ref="V56:AB56" si="15">V54*V53</f>
        <v>7.3546070193938148E-2</v>
      </c>
      <c r="W56" s="102">
        <f t="shared" si="15"/>
        <v>6.0635748131281086E-2</v>
      </c>
      <c r="X56" s="102">
        <f t="shared" si="15"/>
        <v>5.5862097250193921E-2</v>
      </c>
      <c r="Y56" s="102">
        <f t="shared" si="15"/>
        <v>4.2232132698002696E-2</v>
      </c>
      <c r="Z56" s="102">
        <f t="shared" si="15"/>
        <v>3.8963456589870937E-2</v>
      </c>
      <c r="AA56" s="102">
        <f t="shared" si="15"/>
        <v>3.5785152447028477E-2</v>
      </c>
      <c r="AB56" s="102">
        <f t="shared" si="15"/>
        <v>2.9769863856122777E-2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U57" s="102">
        <f>U50-U56</f>
        <v>0.16137862</v>
      </c>
      <c r="V57" s="102">
        <f t="shared" ref="V57:AB57" si="16">V50-V56</f>
        <v>0.22995392980606183</v>
      </c>
      <c r="W57" s="102">
        <f t="shared" si="16"/>
        <v>0.38136425186871892</v>
      </c>
      <c r="X57" s="102">
        <f t="shared" si="16"/>
        <v>0.43813790274980607</v>
      </c>
      <c r="Y57" s="102">
        <f t="shared" si="16"/>
        <v>0.3837678673019973</v>
      </c>
      <c r="Z57" s="102">
        <f t="shared" si="16"/>
        <v>0.38203654341012905</v>
      </c>
      <c r="AA57" s="102">
        <f t="shared" si="16"/>
        <v>0.38821484755297153</v>
      </c>
      <c r="AB57" s="102">
        <f t="shared" si="16"/>
        <v>0.4632301361438772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U58" s="103">
        <f>U57/U36</f>
        <v>7.4156152927120661E-2</v>
      </c>
      <c r="V58" s="103">
        <f>V57/V36</f>
        <v>0.16005702638411765</v>
      </c>
      <c r="W58" s="103">
        <f t="shared" ref="W58:AB58" si="17">W57/W36</f>
        <v>0.26544459655371261</v>
      </c>
      <c r="X58" s="103">
        <f t="shared" si="17"/>
        <v>0.30496130211582517</v>
      </c>
      <c r="Y58" s="103">
        <f t="shared" si="17"/>
        <v>0.27987738280484054</v>
      </c>
      <c r="Z58" s="103">
        <f t="shared" si="17"/>
        <v>0.27861474869466824</v>
      </c>
      <c r="AA58" s="103">
        <f t="shared" si="17"/>
        <v>0.28312051309289055</v>
      </c>
      <c r="AB58" s="103">
        <f t="shared" si="17"/>
        <v>0.32514223074603577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U62" s="107"/>
      <c r="V62" s="107">
        <f t="shared" ref="V62:AB62" si="18">IF(ISNUMBER(V58),IF(VolumeCorr=TRUE,IF(UnknownSampleCheck=TRUE,V58/V23,V58/V23/$M$12),IF(UnknownSampleCheck=TRUE,V58,V58/$M$12)),"")</f>
        <v>0.16005702638411765</v>
      </c>
      <c r="W62" s="107">
        <f t="shared" si="18"/>
        <v>0.26637691575886863</v>
      </c>
      <c r="X62" s="107">
        <f t="shared" si="18"/>
        <v>0.3091236520912336</v>
      </c>
      <c r="Y62" s="107">
        <f t="shared" si="18"/>
        <v>0.28584117668827946</v>
      </c>
      <c r="Z62" s="107">
        <f t="shared" si="18"/>
        <v>0.28526479961788792</v>
      </c>
      <c r="AA62" s="107">
        <f t="shared" si="18"/>
        <v>0.29002312035931588</v>
      </c>
      <c r="AB62" s="107">
        <f t="shared" si="18"/>
        <v>0.334071561342831</v>
      </c>
      <c r="AS62" s="39"/>
      <c r="AX62" s="48"/>
    </row>
    <row r="63" spans="1:53" s="30" customFormat="1" x14ac:dyDescent="0.2">
      <c r="I63" s="17"/>
      <c r="L63" s="17"/>
      <c r="M63" s="188"/>
      <c r="N63" s="189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4" t="s">
        <v>130</v>
      </c>
      <c r="N66" s="193" t="s">
        <v>131</v>
      </c>
      <c r="O66" s="193"/>
      <c r="U66" s="156"/>
      <c r="V66" s="156"/>
      <c r="W66" s="187">
        <v>-1.9800000000000002E-2</v>
      </c>
      <c r="X66" s="187">
        <v>9.1399999999999995E-2</v>
      </c>
      <c r="Y66" s="116" t="s">
        <v>98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44A3-1637-48C4-874B-AB70ACF90742}">
  <dimension ref="A1:BH129"/>
  <sheetViews>
    <sheetView showGridLines="0" topLeftCell="K1" zoomScaleNormal="100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0.7109375" style="17" customWidth="1"/>
    <col min="14" max="14" width="27.7109375" style="17" customWidth="1"/>
    <col min="15" max="15" width="17.5703125" style="17" customWidth="1"/>
    <col min="16" max="16" width="14.14062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7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 customWidth="1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 t="e">
        <f t="shared" ref="V18:AB18" si="1">V17-$AB$17</f>
        <v>#VALUE!</v>
      </c>
      <c r="W18" s="9" t="e">
        <f t="shared" si="1"/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135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IF(ISNUMBER(V17),IF(Volume=TRUE,IF(Unknown=FALSE,V17/V23,V17/V23/$M$12),IF(Unknown=FALSE,V17,V17/$M$12)),"")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 t="e">
        <f t="shared" ref="V22:AB22" si="6">V21-$AB$21</f>
        <v>#VALUE!</v>
      </c>
      <c r="W22" s="82" t="e">
        <f t="shared" si="6"/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7">IF(ISNUMBER(W8),V23-(V23*W8/1000)/$M$14,V23)</f>
        <v>1</v>
      </c>
      <c r="X23" s="10">
        <f t="shared" si="7"/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126" t="s">
        <v>96</v>
      </c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 t="e">
        <f t="shared" ref="V31:AB31" si="11">V30-$V$30</f>
        <v>#VALUE!</v>
      </c>
      <c r="W31" s="139" t="e">
        <f t="shared" si="11"/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 t="e">
        <f t="shared" ref="V32:AB32" si="12">V30/V21</f>
        <v>#VALUE!</v>
      </c>
      <c r="W32" s="139" t="e">
        <f t="shared" si="12"/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U53" s="101">
        <f>$W$66*U49+$X$66</f>
        <v>8.6800000000000002E-2</v>
      </c>
      <c r="V53" s="101">
        <f t="shared" ref="V53:AB53" si="13">$W$66*V49+$X$66</f>
        <v>8.6800000000000002E-2</v>
      </c>
      <c r="W53" s="101">
        <f t="shared" si="13"/>
        <v>8.6800000000000002E-2</v>
      </c>
      <c r="X53" s="101">
        <f t="shared" si="13"/>
        <v>8.6800000000000002E-2</v>
      </c>
      <c r="Y53" s="101">
        <f t="shared" si="13"/>
        <v>8.6800000000000002E-2</v>
      </c>
      <c r="Z53" s="101">
        <f t="shared" si="13"/>
        <v>8.6800000000000002E-2</v>
      </c>
      <c r="AA53" s="101">
        <f t="shared" si="13"/>
        <v>8.6800000000000002E-2</v>
      </c>
      <c r="AB53" s="101">
        <f t="shared" si="13"/>
        <v>8.6800000000000002E-2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U54" s="102">
        <f t="shared" ref="U54:AB54" si="14">(($X67*U12+$W67)/($X67*$U12+$W67))</f>
        <v>1</v>
      </c>
      <c r="V54" s="102">
        <f t="shared" si="14"/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U56" s="102">
        <f>U54*U53</f>
        <v>8.6800000000000002E-2</v>
      </c>
      <c r="V56" s="102">
        <f t="shared" ref="V56:AB56" si="15">V54*V53</f>
        <v>8.6800000000000002E-2</v>
      </c>
      <c r="W56" s="102">
        <f t="shared" si="15"/>
        <v>8.6800000000000002E-2</v>
      </c>
      <c r="X56" s="102">
        <f t="shared" si="15"/>
        <v>8.6800000000000002E-2</v>
      </c>
      <c r="Y56" s="102">
        <f t="shared" si="15"/>
        <v>8.6800000000000002E-2</v>
      </c>
      <c r="Z56" s="102">
        <f t="shared" si="15"/>
        <v>8.6800000000000002E-2</v>
      </c>
      <c r="AA56" s="102">
        <f t="shared" si="15"/>
        <v>8.6800000000000002E-2</v>
      </c>
      <c r="AB56" s="102">
        <f t="shared" si="15"/>
        <v>8.6800000000000002E-2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U57" s="102">
        <f>U50-U56</f>
        <v>-8.6800000000000002E-2</v>
      </c>
      <c r="V57" s="102">
        <f t="shared" ref="V57:AB57" si="16">V50-V56</f>
        <v>-8.6800000000000002E-2</v>
      </c>
      <c r="W57" s="102">
        <f t="shared" si="16"/>
        <v>-8.6800000000000002E-2</v>
      </c>
      <c r="X57" s="102">
        <f t="shared" si="16"/>
        <v>-8.6800000000000002E-2</v>
      </c>
      <c r="Y57" s="102">
        <f t="shared" si="16"/>
        <v>-8.6800000000000002E-2</v>
      </c>
      <c r="Z57" s="102">
        <f t="shared" si="16"/>
        <v>-8.6800000000000002E-2</v>
      </c>
      <c r="AA57" s="102">
        <f t="shared" si="16"/>
        <v>-8.6800000000000002E-2</v>
      </c>
      <c r="AB57" s="102">
        <f t="shared" si="16"/>
        <v>-8.6800000000000002E-2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U62" s="107"/>
      <c r="V62" s="107" t="str">
        <f t="shared" ref="V62:AB62" si="18">IF(ISNUMBER(V58),IF(VolumeCorr=TRUE,IF(UnknownSampleCheck=TRUE,V58/V23,V58/V23/$M$12),IF(UnknownSampleCheck=TRUE,V58,V58/$M$12)),"")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88"/>
      <c r="N63" s="189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4" t="s">
        <v>132</v>
      </c>
      <c r="N66" s="193" t="s">
        <v>133</v>
      </c>
      <c r="O66" s="193"/>
      <c r="U66" s="156"/>
      <c r="V66" s="156"/>
      <c r="W66" s="187">
        <v>-1.66E-2</v>
      </c>
      <c r="X66" s="187">
        <v>8.6800000000000002E-2</v>
      </c>
      <c r="Y66" s="116" t="s">
        <v>98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8DB2-6E7A-4BD2-87DD-B2EE6BCC57A8}">
  <dimension ref="A1:BH129"/>
  <sheetViews>
    <sheetView showGridLines="0" topLeftCell="K1" zoomScale="101" zoomScaleNormal="101" workbookViewId="0">
      <selection activeCell="L4" sqref="L4"/>
    </sheetView>
  </sheetViews>
  <sheetFormatPr defaultColWidth="11.42578125" defaultRowHeight="12.75" x14ac:dyDescent="0.2"/>
  <cols>
    <col min="1" max="1" width="31" style="39" customWidth="1"/>
    <col min="2" max="2" width="4" style="39" customWidth="1"/>
    <col min="3" max="3" width="15.42578125" style="39" bestFit="1" customWidth="1"/>
    <col min="4" max="4" width="19.42578125" style="39" bestFit="1" customWidth="1"/>
    <col min="5" max="5" width="33.140625" style="39" bestFit="1" customWidth="1"/>
    <col min="6" max="6" width="12.140625" style="39" customWidth="1"/>
    <col min="7" max="7" width="10.42578125" style="39" customWidth="1"/>
    <col min="8" max="8" width="54.7109375" style="17" customWidth="1"/>
    <col min="9" max="9" width="40.85546875" style="17" customWidth="1"/>
    <col min="10" max="10" width="14.85546875" style="17" customWidth="1"/>
    <col min="11" max="11" width="5.42578125" style="17" customWidth="1"/>
    <col min="12" max="12" width="40.85546875" style="17" customWidth="1"/>
    <col min="13" max="13" width="43.42578125" style="17" customWidth="1"/>
    <col min="14" max="14" width="27.28515625" style="17" customWidth="1"/>
    <col min="15" max="15" width="18.7109375" style="17" customWidth="1"/>
    <col min="16" max="16" width="11.85546875" style="17" customWidth="1"/>
    <col min="17" max="18" width="9.5703125" style="17" customWidth="1"/>
    <col min="19" max="20" width="8.7109375" style="17" customWidth="1"/>
    <col min="21" max="21" width="18.85546875" style="17" customWidth="1"/>
    <col min="22" max="22" width="11.85546875" style="17" customWidth="1"/>
    <col min="23" max="23" width="15.7109375" style="17" customWidth="1"/>
    <col min="24" max="24" width="10.7109375" style="17" customWidth="1"/>
    <col min="25" max="26" width="12.42578125" style="17" customWidth="1"/>
    <col min="27" max="27" width="9.42578125" style="17" customWidth="1"/>
    <col min="28" max="28" width="11.42578125" style="17"/>
    <col min="29" max="29" width="7.7109375" style="17" customWidth="1"/>
    <col min="30" max="30" width="8.7109375" style="17" customWidth="1"/>
    <col min="31" max="31" width="7.5703125" style="17" customWidth="1"/>
    <col min="32" max="32" width="8.42578125" style="17" customWidth="1"/>
    <col min="33" max="33" width="8.7109375" style="17" customWidth="1"/>
    <col min="34" max="34" width="7.140625" style="17" customWidth="1"/>
    <col min="35" max="35" width="7.42578125" style="17" customWidth="1"/>
    <col min="36" max="36" width="5" style="17" customWidth="1"/>
    <col min="37" max="37" width="7.28515625" style="17" customWidth="1"/>
    <col min="38" max="38" width="7.140625" style="17" customWidth="1"/>
    <col min="39" max="39" width="6.7109375" style="17" customWidth="1"/>
    <col min="40" max="40" width="5.7109375" style="17" customWidth="1"/>
    <col min="41" max="41" width="8.28515625" style="17" customWidth="1"/>
    <col min="42" max="42" width="8.7109375" style="17" customWidth="1"/>
    <col min="43" max="43" width="8.28515625" style="17" customWidth="1"/>
    <col min="44" max="44" width="9.140625" style="17" customWidth="1"/>
    <col min="45" max="45" width="8" style="17" customWidth="1"/>
    <col min="46" max="46" width="8.7109375" style="17" customWidth="1"/>
    <col min="47" max="47" width="7.7109375" style="17" customWidth="1"/>
    <col min="48" max="49" width="7.42578125" style="17" customWidth="1"/>
    <col min="50" max="52" width="10" style="118" customWidth="1"/>
    <col min="53" max="54" width="8.42578125" style="17" customWidth="1"/>
    <col min="55" max="55" width="6.28515625" style="119" customWidth="1"/>
    <col min="56" max="58" width="7.28515625" style="17" customWidth="1"/>
    <col min="59" max="79" width="10.7109375" style="17" customWidth="1"/>
    <col min="80" max="16384" width="11.42578125" style="17"/>
  </cols>
  <sheetData>
    <row r="1" spans="1:59" s="21" customFormat="1" x14ac:dyDescent="0.2">
      <c r="A1" s="18" t="s">
        <v>65</v>
      </c>
      <c r="B1" s="19"/>
      <c r="C1" s="91" t="s">
        <v>0</v>
      </c>
      <c r="D1" s="192" t="s">
        <v>94</v>
      </c>
      <c r="E1" s="192"/>
      <c r="F1" s="192"/>
      <c r="G1" s="192"/>
      <c r="H1" s="142" t="s">
        <v>89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4.25" x14ac:dyDescent="0.2">
      <c r="A3" s="33" t="s">
        <v>92</v>
      </c>
      <c r="B3" s="34"/>
      <c r="D3" s="35"/>
      <c r="E3" s="35"/>
      <c r="F3" s="28"/>
      <c r="G3" s="29"/>
      <c r="I3" s="145" t="s">
        <v>87</v>
      </c>
      <c r="L3" s="146" t="s">
        <v>106</v>
      </c>
      <c r="M3" s="36"/>
      <c r="N3" s="1"/>
      <c r="U3" s="11" t="s">
        <v>21</v>
      </c>
      <c r="V3" s="140" t="s">
        <v>20</v>
      </c>
      <c r="W3" s="13" t="s">
        <v>15</v>
      </c>
      <c r="X3" s="14" t="s">
        <v>7</v>
      </c>
      <c r="Y3" s="12" t="s">
        <v>4</v>
      </c>
      <c r="Z3" s="12" t="s">
        <v>8</v>
      </c>
      <c r="AA3" s="12" t="s">
        <v>18</v>
      </c>
      <c r="AB3" s="13" t="s">
        <v>19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95</v>
      </c>
      <c r="C5" s="33"/>
      <c r="D5" s="33"/>
      <c r="E5" s="33"/>
      <c r="F5" s="33"/>
      <c r="G5" s="33"/>
      <c r="I5" s="145" t="s">
        <v>88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4.25" x14ac:dyDescent="0.2">
      <c r="A16" s="52"/>
      <c r="B16" s="52"/>
      <c r="C16" s="52"/>
      <c r="D16" s="52"/>
      <c r="E16" s="52"/>
      <c r="F16" s="52"/>
      <c r="G16" s="52"/>
      <c r="L16" s="147" t="s">
        <v>107</v>
      </c>
      <c r="M16" s="67"/>
      <c r="N16" s="67"/>
      <c r="O16" s="67"/>
      <c r="P16" s="67"/>
      <c r="Q16" s="67"/>
      <c r="R16" s="67"/>
      <c r="S16" s="67"/>
      <c r="T16" s="67"/>
      <c r="U16" s="11" t="s">
        <v>21</v>
      </c>
      <c r="V16" s="140" t="s">
        <v>20</v>
      </c>
      <c r="W16" s="13" t="s">
        <v>15</v>
      </c>
      <c r="X16" s="14" t="s">
        <v>7</v>
      </c>
      <c r="Y16" s="12" t="s">
        <v>4</v>
      </c>
      <c r="Z16" s="12" t="s">
        <v>8</v>
      </c>
      <c r="AA16" s="12" t="s">
        <v>18</v>
      </c>
      <c r="AB16" s="13" t="s">
        <v>19</v>
      </c>
      <c r="AE16" s="68"/>
      <c r="AG16" s="59"/>
      <c r="AV16" s="39"/>
      <c r="BA16" s="48"/>
    </row>
    <row r="17" spans="1:53" s="30" customFormat="1" ht="15" x14ac:dyDescent="0.2">
      <c r="A17" s="52"/>
      <c r="B17" s="52"/>
      <c r="C17" s="52"/>
      <c r="D17" s="52"/>
      <c r="E17" s="52"/>
      <c r="F17" s="52"/>
      <c r="G17" s="52"/>
      <c r="L17" s="67"/>
      <c r="M17" s="67" t="s">
        <v>81</v>
      </c>
      <c r="N17" s="69" t="s">
        <v>90</v>
      </c>
      <c r="O17" s="67"/>
      <c r="P17" s="67"/>
      <c r="Q17" s="67"/>
      <c r="R17" s="67"/>
      <c r="S17" s="67"/>
      <c r="T17" s="67"/>
      <c r="U17" s="67"/>
      <c r="V17" s="9" t="str">
        <f>IF(ISNUMBER(V13),V13-($P$14*V12+$P$13),"")</f>
        <v/>
      </c>
      <c r="W17" s="9" t="str">
        <f t="shared" ref="W17:AB17" si="0">IF(ISNUMBER(W13),W13-($P$14*W12+$P$13),"")</f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5" x14ac:dyDescent="0.2">
      <c r="A18" s="161" t="s">
        <v>108</v>
      </c>
      <c r="B18" s="161" t="s">
        <v>79</v>
      </c>
      <c r="C18" s="161"/>
      <c r="D18" s="162"/>
      <c r="E18" s="52"/>
      <c r="F18" s="54"/>
      <c r="G18" s="52"/>
      <c r="L18" s="71"/>
      <c r="M18" s="67" t="s">
        <v>82</v>
      </c>
      <c r="N18" s="69" t="s">
        <v>90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3" t="s">
        <v>109</v>
      </c>
      <c r="B19" s="163" t="s">
        <v>115</v>
      </c>
      <c r="C19" s="141"/>
      <c r="D19" s="162"/>
      <c r="E19" s="52"/>
      <c r="F19" s="54"/>
      <c r="G19" s="52"/>
      <c r="L19" s="67"/>
      <c r="M19" s="73" t="s">
        <v>78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83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4" t="s">
        <v>110</v>
      </c>
      <c r="B20" s="165" t="s">
        <v>116</v>
      </c>
      <c r="C20" s="162"/>
      <c r="D20" s="141"/>
      <c r="E20" s="52"/>
      <c r="F20" s="54"/>
      <c r="G20" s="52"/>
      <c r="L20" s="78"/>
      <c r="M20" s="73" t="s">
        <v>135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84</v>
      </c>
      <c r="AE20" s="77"/>
      <c r="AF20" s="148" t="str">
        <f>AB3</f>
        <v>5Ama</v>
      </c>
      <c r="AV20" s="39"/>
      <c r="BA20" s="48"/>
    </row>
    <row r="21" spans="1:53" s="30" customFormat="1" ht="15" x14ac:dyDescent="0.25">
      <c r="A21" s="166" t="s">
        <v>111</v>
      </c>
      <c r="B21" s="167" t="s">
        <v>117</v>
      </c>
      <c r="C21" s="162"/>
      <c r="D21" s="162"/>
      <c r="E21" s="52"/>
      <c r="F21" s="52"/>
      <c r="G21" s="52"/>
      <c r="L21" s="78"/>
      <c r="M21" s="79" t="s">
        <v>103</v>
      </c>
      <c r="N21" s="80" t="s">
        <v>97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IF(ISNUMBER(V17),IF(Titrvol20=TRUE,IF(UnknownS20=FALSE,V17/V23,V17/V23/$M$12),IF(UnknownS20=FALSE,V17,V17/$M$12)),"")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25">
      <c r="A22" s="168" t="s">
        <v>118</v>
      </c>
      <c r="B22" s="169" t="s">
        <v>80</v>
      </c>
      <c r="C22" s="141"/>
      <c r="D22" s="162"/>
      <c r="E22" s="52"/>
      <c r="F22" s="52"/>
      <c r="G22" s="52"/>
      <c r="I22" s="151" t="b">
        <v>1</v>
      </c>
      <c r="L22" s="67"/>
      <c r="M22" s="79" t="s">
        <v>104</v>
      </c>
      <c r="N22" s="80" t="s">
        <v>97</v>
      </c>
      <c r="O22" s="67"/>
      <c r="P22" s="67"/>
      <c r="Q22" s="67"/>
      <c r="R22" s="67"/>
      <c r="S22" s="67"/>
      <c r="T22" s="67"/>
      <c r="U22" s="81"/>
      <c r="V22" s="82" t="e">
        <f>V21-$AB$21</f>
        <v>#VALUE!</v>
      </c>
      <c r="W22" s="82" t="e">
        <f t="shared" ref="W22:AB22" si="6">W21-$AB$21</f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91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1</v>
      </c>
      <c r="X23" s="10">
        <f t="shared" ref="X23:AB23" si="7">IF(ISNUMBER(X8),W23-(W23*X8/1000)/$M$14,W23)</f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4.25" x14ac:dyDescent="0.2">
      <c r="A26" s="19"/>
      <c r="B26" s="19"/>
      <c r="C26" s="39"/>
      <c r="D26" s="20"/>
      <c r="E26" s="20"/>
      <c r="F26" s="20"/>
      <c r="G26" s="20"/>
      <c r="L26" s="152" t="s">
        <v>112</v>
      </c>
      <c r="M26" s="133"/>
      <c r="N26" s="134"/>
      <c r="O26" s="133"/>
      <c r="P26" s="133"/>
      <c r="Q26" s="133"/>
      <c r="R26" s="133"/>
      <c r="S26" s="133"/>
      <c r="T26" s="133"/>
      <c r="U26" s="11" t="s">
        <v>21</v>
      </c>
      <c r="V26" s="140" t="s">
        <v>20</v>
      </c>
      <c r="W26" s="13" t="s">
        <v>15</v>
      </c>
      <c r="X26" s="14" t="s">
        <v>7</v>
      </c>
      <c r="Y26" s="12" t="s">
        <v>4</v>
      </c>
      <c r="Z26" s="12" t="s">
        <v>8</v>
      </c>
      <c r="AA26" s="12" t="s">
        <v>18</v>
      </c>
      <c r="AB26" s="13" t="s">
        <v>19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96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25">
      <c r="A29" s="23"/>
      <c r="B29" s="150"/>
      <c r="C29" s="52"/>
      <c r="D29" s="52"/>
      <c r="E29" s="52"/>
      <c r="F29" s="52"/>
      <c r="G29" s="52"/>
      <c r="L29" s="133"/>
      <c r="M29" s="137" t="s">
        <v>99</v>
      </c>
      <c r="N29" s="138" t="s">
        <v>105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25">
      <c r="A30" s="49"/>
      <c r="B30" s="150"/>
      <c r="C30" s="52"/>
      <c r="D30" s="52"/>
      <c r="E30" s="52"/>
      <c r="F30" s="52"/>
      <c r="G30" s="52"/>
      <c r="L30" s="133"/>
      <c r="M30" s="137" t="s">
        <v>100</v>
      </c>
      <c r="N30" s="138" t="s">
        <v>97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25">
      <c r="A31" s="149"/>
      <c r="B31" s="150"/>
      <c r="C31" s="52"/>
      <c r="D31" s="52"/>
      <c r="E31" s="52"/>
      <c r="F31" s="52"/>
      <c r="G31" s="52"/>
      <c r="L31" s="133"/>
      <c r="M31" s="137" t="s">
        <v>101</v>
      </c>
      <c r="N31" s="138" t="s">
        <v>97</v>
      </c>
      <c r="O31" s="133"/>
      <c r="P31" s="133"/>
      <c r="Q31" s="133"/>
      <c r="R31" s="133"/>
      <c r="S31" s="133"/>
      <c r="T31" s="133"/>
      <c r="U31" s="133"/>
      <c r="V31" s="139" t="e">
        <f>V30-$V$30</f>
        <v>#VALUE!</v>
      </c>
      <c r="W31" s="139" t="e">
        <f t="shared" ref="W31:AB31" si="11">W30-$V$30</f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4.25" x14ac:dyDescent="0.25">
      <c r="A32" s="149"/>
      <c r="B32" s="150"/>
      <c r="C32" s="52"/>
      <c r="D32" s="52"/>
      <c r="E32" s="52"/>
      <c r="F32" s="52"/>
      <c r="G32" s="52"/>
      <c r="L32" s="133"/>
      <c r="M32" s="137" t="s">
        <v>102</v>
      </c>
      <c r="N32" s="138" t="s">
        <v>2</v>
      </c>
      <c r="O32" s="153"/>
      <c r="P32" s="153"/>
      <c r="Q32" s="153"/>
      <c r="R32" s="153"/>
      <c r="S32" s="153"/>
      <c r="T32" s="153"/>
      <c r="U32" s="138"/>
      <c r="V32" s="139" t="e">
        <f>V30/V21</f>
        <v>#VALUE!</v>
      </c>
      <c r="W32" s="139" t="e">
        <f t="shared" ref="W32:AB32" si="12">W30/W21</f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4.25" x14ac:dyDescent="0.2">
      <c r="A34" s="149"/>
      <c r="B34" s="150"/>
      <c r="C34" s="52"/>
      <c r="D34" s="52"/>
      <c r="E34" s="52"/>
      <c r="F34" s="52"/>
      <c r="G34" s="52"/>
      <c r="L34" s="146" t="s">
        <v>113</v>
      </c>
      <c r="M34" s="91"/>
      <c r="N34" s="91"/>
      <c r="U34" s="91" t="s">
        <v>11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5</v>
      </c>
      <c r="V35" s="91" t="s">
        <v>6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4.25" x14ac:dyDescent="0.25">
      <c r="A36" s="149"/>
      <c r="B36" s="150"/>
      <c r="C36" s="52"/>
      <c r="D36" s="52"/>
      <c r="E36" s="52"/>
      <c r="F36" s="52"/>
      <c r="G36" s="52"/>
      <c r="L36" s="131" t="s">
        <v>86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17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64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12</v>
      </c>
      <c r="V40" s="140" t="s">
        <v>20</v>
      </c>
      <c r="W40" s="13" t="s">
        <v>15</v>
      </c>
      <c r="X40" s="14" t="s">
        <v>7</v>
      </c>
      <c r="Y40" s="12" t="s">
        <v>4</v>
      </c>
      <c r="Z40" s="12" t="s">
        <v>8</v>
      </c>
      <c r="AA40" s="12" t="s">
        <v>18</v>
      </c>
      <c r="AB40" s="13" t="s">
        <v>19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.75" x14ac:dyDescent="0.25">
      <c r="A53" s="149"/>
      <c r="B53" s="150"/>
      <c r="C53" s="52"/>
      <c r="D53" s="52"/>
      <c r="E53" s="52"/>
      <c r="F53" s="52"/>
      <c r="G53" s="52"/>
      <c r="M53" s="170" t="s">
        <v>119</v>
      </c>
      <c r="N53" s="171" t="s">
        <v>120</v>
      </c>
      <c r="O53" s="141"/>
      <c r="P53" s="141"/>
      <c r="U53" s="101">
        <f>$W$66*U49+$X$66</f>
        <v>0.12479999999999999</v>
      </c>
      <c r="V53" s="101">
        <f t="shared" ref="V53:AB53" si="13">$W$66*V49+$X$66</f>
        <v>0.12479999999999999</v>
      </c>
      <c r="W53" s="101">
        <f t="shared" si="13"/>
        <v>0.12479999999999999</v>
      </c>
      <c r="X53" s="101">
        <f t="shared" si="13"/>
        <v>0.12479999999999999</v>
      </c>
      <c r="Y53" s="101">
        <f t="shared" si="13"/>
        <v>0.12479999999999999</v>
      </c>
      <c r="Z53" s="101">
        <f t="shared" si="13"/>
        <v>0.12479999999999999</v>
      </c>
      <c r="AA53" s="101">
        <f t="shared" si="13"/>
        <v>0.12479999999999999</v>
      </c>
      <c r="AB53" s="101">
        <f t="shared" si="13"/>
        <v>0.12479999999999999</v>
      </c>
      <c r="AV53" s="39"/>
      <c r="BA53" s="48"/>
    </row>
    <row r="54" spans="1:53" s="30" customFormat="1" ht="14.25" x14ac:dyDescent="0.25">
      <c r="A54" s="149"/>
      <c r="B54" s="150"/>
      <c r="C54" s="52"/>
      <c r="D54" s="52"/>
      <c r="E54" s="52"/>
      <c r="F54" s="52"/>
      <c r="G54" s="52"/>
      <c r="M54" s="170" t="s">
        <v>121</v>
      </c>
      <c r="N54" s="171"/>
      <c r="O54" s="141"/>
      <c r="P54" s="141"/>
      <c r="U54" s="102">
        <f>(($X67*U12+$W67)/($X67*$U12+$W67))</f>
        <v>1</v>
      </c>
      <c r="V54" s="102">
        <f>(($X67*V12+$W67)/($X67*$U12+$W67))</f>
        <v>1</v>
      </c>
      <c r="W54" s="102">
        <f t="shared" ref="W54:AB54" si="14">(($X67*W12+$W67)/($X67*$U12+$W67))</f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70"/>
      <c r="N55" s="171"/>
      <c r="O55" s="141"/>
      <c r="P55" s="141"/>
      <c r="AV55" s="39"/>
      <c r="BA55" s="48"/>
    </row>
    <row r="56" spans="1:53" s="30" customFormat="1" ht="15.75" x14ac:dyDescent="0.25">
      <c r="A56" s="149"/>
      <c r="B56" s="150"/>
      <c r="C56" s="52"/>
      <c r="D56" s="52"/>
      <c r="E56" s="52"/>
      <c r="F56" s="52"/>
      <c r="G56" s="52"/>
      <c r="M56" s="172" t="s">
        <v>122</v>
      </c>
      <c r="N56" s="171" t="s">
        <v>120</v>
      </c>
      <c r="O56" s="141"/>
      <c r="P56" s="141"/>
      <c r="U56" s="102">
        <f>U54*U53</f>
        <v>0.12479999999999999</v>
      </c>
      <c r="V56" s="102">
        <f t="shared" ref="V56:AB56" si="15">V54*V53</f>
        <v>0.12479999999999999</v>
      </c>
      <c r="W56" s="102">
        <f t="shared" si="15"/>
        <v>0.12479999999999999</v>
      </c>
      <c r="X56" s="102">
        <f t="shared" si="15"/>
        <v>0.12479999999999999</v>
      </c>
      <c r="Y56" s="102">
        <f t="shared" si="15"/>
        <v>0.12479999999999999</v>
      </c>
      <c r="Z56" s="102">
        <f t="shared" si="15"/>
        <v>0.12479999999999999</v>
      </c>
      <c r="AA56" s="102">
        <f t="shared" si="15"/>
        <v>0.12479999999999999</v>
      </c>
      <c r="AB56" s="102">
        <f t="shared" si="15"/>
        <v>0.12479999999999999</v>
      </c>
      <c r="AV56" s="39"/>
      <c r="BA56" s="48"/>
    </row>
    <row r="57" spans="1:53" s="30" customFormat="1" ht="15.75" x14ac:dyDescent="0.25">
      <c r="A57" s="149"/>
      <c r="B57" s="150"/>
      <c r="C57" s="52"/>
      <c r="D57" s="52"/>
      <c r="E57" s="52"/>
      <c r="F57" s="52"/>
      <c r="G57" s="52"/>
      <c r="M57" s="172" t="s">
        <v>123</v>
      </c>
      <c r="N57" s="171" t="s">
        <v>120</v>
      </c>
      <c r="O57" s="141"/>
      <c r="P57" s="141"/>
      <c r="U57" s="102">
        <f>U50-U56</f>
        <v>-0.12479999999999999</v>
      </c>
      <c r="V57" s="102">
        <f t="shared" ref="V57:AB57" si="16">V50-V56</f>
        <v>-0.12479999999999999</v>
      </c>
      <c r="W57" s="102">
        <f t="shared" si="16"/>
        <v>-0.12479999999999999</v>
      </c>
      <c r="X57" s="102">
        <f t="shared" si="16"/>
        <v>-0.12479999999999999</v>
      </c>
      <c r="Y57" s="102">
        <f t="shared" si="16"/>
        <v>-0.12479999999999999</v>
      </c>
      <c r="Z57" s="102">
        <f t="shared" si="16"/>
        <v>-0.12479999999999999</v>
      </c>
      <c r="AA57" s="102">
        <f t="shared" si="16"/>
        <v>-0.12479999999999999</v>
      </c>
      <c r="AB57" s="102">
        <f t="shared" si="16"/>
        <v>-0.12479999999999999</v>
      </c>
      <c r="AV57" s="39"/>
      <c r="BA57" s="48"/>
    </row>
    <row r="58" spans="1:53" s="30" customFormat="1" ht="15.75" x14ac:dyDescent="0.25">
      <c r="A58" s="149"/>
      <c r="B58" s="150"/>
      <c r="C58" s="52"/>
      <c r="D58" s="52"/>
      <c r="E58" s="52"/>
      <c r="F58" s="52"/>
      <c r="G58" s="52"/>
      <c r="M58" s="173" t="s">
        <v>137</v>
      </c>
      <c r="N58" s="174" t="s">
        <v>125</v>
      </c>
      <c r="O58" s="141"/>
      <c r="P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2"/>
      <c r="N59" s="174"/>
      <c r="O59" s="141"/>
      <c r="P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5"/>
      <c r="N60" s="176"/>
      <c r="O60" s="141"/>
      <c r="P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5"/>
      <c r="N61" s="176"/>
      <c r="O61" s="141"/>
      <c r="P61" s="141"/>
      <c r="U61" s="11" t="s">
        <v>12</v>
      </c>
      <c r="V61" s="140" t="s">
        <v>20</v>
      </c>
      <c r="W61" s="13" t="s">
        <v>15</v>
      </c>
      <c r="X61" s="14" t="s">
        <v>7</v>
      </c>
      <c r="Y61" s="12" t="s">
        <v>4</v>
      </c>
      <c r="Z61" s="12" t="s">
        <v>8</v>
      </c>
      <c r="AA61" s="12" t="s">
        <v>18</v>
      </c>
      <c r="AB61" s="13" t="s">
        <v>19</v>
      </c>
      <c r="AS61" s="39"/>
      <c r="AX61" s="48"/>
    </row>
    <row r="62" spans="1:53" s="30" customFormat="1" ht="15.75" x14ac:dyDescent="0.25">
      <c r="I62" s="17"/>
      <c r="L62" s="106"/>
      <c r="M62" s="173" t="s">
        <v>124</v>
      </c>
      <c r="N62" s="174" t="s">
        <v>126</v>
      </c>
      <c r="O62" s="141"/>
      <c r="P62" s="141"/>
      <c r="U62" s="107"/>
      <c r="V62" s="107" t="str">
        <f t="shared" ref="V62:AB62" si="18">IF(ISNUMBER(V58),IF(Titrvol20=TRUE,IF(UnknownS20=TRUE,V58/V23,V58/V23/$M$12),IF(UnknownS20=TRUE,V58,V58/$M$12)),"")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77"/>
      <c r="N63" s="178"/>
      <c r="O63" s="141"/>
      <c r="P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9"/>
      <c r="N64" s="180"/>
      <c r="O64" s="181"/>
      <c r="P64" s="181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4.25" x14ac:dyDescent="0.25">
      <c r="I65" s="17"/>
      <c r="L65" s="17"/>
      <c r="M65" s="182" t="s">
        <v>114</v>
      </c>
      <c r="N65" s="183"/>
      <c r="O65" s="141"/>
      <c r="P65" s="141"/>
      <c r="U65" s="154"/>
      <c r="V65" s="154"/>
      <c r="W65" s="155" t="s">
        <v>9</v>
      </c>
      <c r="X65" s="155" t="s">
        <v>10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4.25" x14ac:dyDescent="0.2">
      <c r="I66" s="17"/>
      <c r="L66" s="17"/>
      <c r="M66" s="184" t="s">
        <v>134</v>
      </c>
      <c r="N66" s="193" t="s">
        <v>136</v>
      </c>
      <c r="O66" s="193"/>
      <c r="P66" s="141"/>
      <c r="Q66" s="141"/>
      <c r="R66" s="141"/>
      <c r="S66" s="141"/>
      <c r="T66" s="141"/>
      <c r="U66" s="159"/>
      <c r="V66" s="159"/>
      <c r="W66" s="190">
        <v>-3.4799999999999998E-2</v>
      </c>
      <c r="X66" s="190">
        <v>0.12479999999999999</v>
      </c>
      <c r="Y66" s="116" t="s">
        <v>98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4.25" x14ac:dyDescent="0.25">
      <c r="I67" s="17"/>
      <c r="M67" s="185" t="s">
        <v>121</v>
      </c>
      <c r="N67" s="186" t="s">
        <v>129</v>
      </c>
      <c r="O67" s="141"/>
      <c r="P67" s="141"/>
      <c r="Q67" s="141"/>
      <c r="R67" s="141"/>
      <c r="S67" s="141"/>
      <c r="T67" s="141"/>
      <c r="U67" s="159"/>
      <c r="V67" s="159"/>
      <c r="W67" s="160">
        <v>2.0000000000000001E-4</v>
      </c>
      <c r="X67" s="160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3457575</xdr:colOff>
                    <xdr:row>1</xdr:row>
                    <xdr:rowOff>152400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161925</xdr:rowOff>
                  </from>
                  <to>
                    <xdr:col>8</xdr:col>
                    <xdr:colOff>123825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O2&amp;AmR MiR05-Kit#0915</vt:lpstr>
      <vt:lpstr>O2&amp;AmR MiR05-Kit#18.02872</vt:lpstr>
      <vt:lpstr>O2&amp;AmR MiR05-Kit#19.01689</vt:lpstr>
      <vt:lpstr>O2&amp;AmR MiR05-Kit#20J01923</vt:lpstr>
      <vt:lpstr>'O2&amp;AmR MiR05-Kit#0915'!Print_Area</vt:lpstr>
      <vt:lpstr>'O2&amp;AmR MiR05-Kit#18.02872'!Print_Area</vt:lpstr>
      <vt:lpstr>'O2&amp;AmR MiR05-Kit#19.01689'!Print_Area</vt:lpstr>
      <vt:lpstr>Titrvol20</vt:lpstr>
      <vt:lpstr>Unknown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Timea Komlodi</cp:lastModifiedBy>
  <cp:lastPrinted>2016-07-26T07:02:00Z</cp:lastPrinted>
  <dcterms:created xsi:type="dcterms:W3CDTF">2004-10-29T04:30:37Z</dcterms:created>
  <dcterms:modified xsi:type="dcterms:W3CDTF">2021-10-11T11:49:34Z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