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charts/chart536.xml" ContentType="application/vnd.openxmlformats-officedocument.drawingml.chart+xml"/>
  <Override PartName="/xl/charts/chart583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charts/chart375.xml" ContentType="application/vnd.openxmlformats-officedocument.drawingml.chart+xml"/>
  <Override PartName="/xl/charts/chart514.xml" ContentType="application/vnd.openxmlformats-officedocument.drawingml.chart+xml"/>
  <Override PartName="/xl/charts/chart561.xml" ContentType="application/vnd.openxmlformats-officedocument.drawingml.chart+xml"/>
  <Override PartName="/xl/charts/chart659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Override PartName="/xl/charts/chart353.xml" ContentType="application/vnd.openxmlformats-officedocument.drawingml.chart+xml"/>
  <Override PartName="/xl/charts/chart498.xml" ContentType="application/vnd.openxmlformats-officedocument.drawingml.chart+xml"/>
  <Override PartName="/xl/drawings/drawing17.xml" ContentType="application/vnd.openxmlformats-officedocument.drawing+xml"/>
  <Override PartName="/xl/charts/chart637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429.xml" ContentType="application/vnd.openxmlformats-officedocument.drawingml.chart+xml"/>
  <Override PartName="/xl/charts/chart476.xml" ContentType="application/vnd.openxmlformats-officedocument.drawingml.chart+xml"/>
  <Override PartName="/xl/charts/chart38.xml" ContentType="application/vnd.openxmlformats-officedocument.drawingml.chart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charts/chart331.xml" ContentType="application/vnd.openxmlformats-officedocument.drawingml.chart+xml"/>
  <Override PartName="/xl/charts/chart599.xml" ContentType="application/vnd.openxmlformats-officedocument.drawingml.chart+xml"/>
  <Override PartName="/xl/charts/chart615.xml" ContentType="application/vnd.openxmlformats-officedocument.drawingml.chart+xml"/>
  <Override PartName="/xl/charts/chart662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407.xml" ContentType="application/vnd.openxmlformats-officedocument.drawingml.chart+xml"/>
  <Override PartName="/xl/charts/chart454.xml" ContentType="application/vnd.openxmlformats-officedocument.drawingml.chart+xml"/>
  <Override PartName="/xl/charts/chart640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charts/chart432.xml" ContentType="application/vnd.openxmlformats-officedocument.drawingml.chart+xml"/>
  <Override PartName="/xl/charts/chart577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71.xml" ContentType="application/vnd.openxmlformats-officedocument.drawingml.chart+xml"/>
  <Override PartName="/xl/charts/chart369.xml" ContentType="application/vnd.openxmlformats-officedocument.drawingml.chart+xml"/>
  <Override PartName="/xl/comments10.xml" ContentType="application/vnd.openxmlformats-officedocument.spreadsheetml.comments+xml"/>
  <Override PartName="/xl/charts/chart508.xml" ContentType="application/vnd.openxmlformats-officedocument.drawingml.chart+xml"/>
  <Override PartName="/xl/charts/chart555.xml" ContentType="application/vnd.openxmlformats-officedocument.drawingml.chart+xml"/>
  <Override PartName="/xl/charts/chart347.xml" ContentType="application/vnd.openxmlformats-officedocument.drawingml.chart+xml"/>
  <Override PartName="/xl/charts/chart394.xml" ContentType="application/vnd.openxmlformats-officedocument.drawingml.chart+xml"/>
  <Override PartName="/xl/charts/chart410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charts/chart533.xml" ContentType="application/vnd.openxmlformats-officedocument.drawingml.chart+xml"/>
  <Override PartName="/xl/charts/chart580.xml" ContentType="application/vnd.openxmlformats-officedocument.drawingml.chart+xml"/>
  <Override PartName="/xl/worksheets/sheet8.xml" ContentType="application/vnd.openxmlformats-officedocument.spreadsheetml.worksheet+xml"/>
  <Default Extension="emf" ContentType="image/x-emf"/>
  <Override PartName="/xl/charts/chart79.xml" ContentType="application/vnd.openxmlformats-officedocument.drawingml.chart+xml"/>
  <Override PartName="/xl/charts/chart325.xml" ContentType="application/vnd.openxmlformats-officedocument.drawingml.chart+xml"/>
  <Override PartName="/xl/charts/chart372.xml" ContentType="application/vnd.openxmlformats-officedocument.drawingml.chart+xml"/>
  <Override PartName="/xl/charts/chart609.xml" ContentType="application/vnd.openxmlformats-officedocument.drawingml.chart+xml"/>
  <Override PartName="/xl/charts/chart656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harts/chart448.xml" ContentType="application/vnd.openxmlformats-officedocument.drawingml.chart+xml"/>
  <Override PartName="/xl/charts/chart495.xml" ContentType="application/vnd.openxmlformats-officedocument.drawingml.chart+xml"/>
  <Override PartName="/xl/charts/chart511.xml" ContentType="application/vnd.openxmlformats-officedocument.drawingml.chart+xml"/>
  <Override PartName="/xl/charts/chart142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0.xml" ContentType="application/vnd.openxmlformats-officedocument.drawingml.chart+xml"/>
  <Override PartName="/xl/drawings/drawing14.xml" ContentType="application/vnd.openxmlformats-officedocument.drawing+xml"/>
  <Override PartName="/xl/charts/chart634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426.xml" ContentType="application/vnd.openxmlformats-officedocument.drawingml.chart+xml"/>
  <Override PartName="/xl/charts/chart473.xml" ContentType="application/vnd.openxmlformats-officedocument.drawingml.chart+xml"/>
  <Override PartName="/xl/charts/chart612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charts/chart218.xml" ContentType="application/vnd.openxmlformats-officedocument.drawingml.chart+xml"/>
  <Override PartName="/xl/charts/chart265.xml" ContentType="application/vnd.openxmlformats-officedocument.drawingml.chart+xml"/>
  <Override PartName="/xl/charts/chart404.xml" ContentType="application/vnd.openxmlformats-officedocument.drawingml.chart+xml"/>
  <Override PartName="/xl/charts/chart451.xml" ContentType="application/vnd.openxmlformats-officedocument.drawingml.chart+xml"/>
  <Override PartName="/xl/charts/chart549.xml" ContentType="application/vnd.openxmlformats-officedocument.drawingml.chart+xml"/>
  <Override PartName="/xl/charts/chart596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charts/chart388.xml" ContentType="application/vnd.openxmlformats-officedocument.drawingml.chart+xml"/>
  <Override PartName="/xl/charts/chart527.xml" ContentType="application/vnd.openxmlformats-officedocument.drawingml.chart+xml"/>
  <Override PartName="/xl/charts/chart574.xml" ContentType="application/vnd.openxmlformats-officedocument.drawingml.chart+xml"/>
  <Override PartName="/xl/charts/chart319.xml" ContentType="application/vnd.openxmlformats-officedocument.drawingml.chart+xml"/>
  <Override PartName="/xl/charts/chart366.xml" ContentType="application/vnd.openxmlformats-officedocument.drawingml.chart+xml"/>
  <Override PartName="/xl/charts/chart158.xml" ContentType="application/vnd.openxmlformats-officedocument.drawingml.chart+xml"/>
  <Override PartName="/xl/charts/chart221.xml" ContentType="application/vnd.openxmlformats-officedocument.drawingml.chart+xml"/>
  <Override PartName="/xl/charts/chart505.xml" ContentType="application/vnd.openxmlformats-officedocument.drawingml.chart+xml"/>
  <Override PartName="/xl/charts/chart552.xml" ContentType="application/vnd.openxmlformats-officedocument.drawingml.chart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charts/chart344.xml" ContentType="application/vnd.openxmlformats-officedocument.drawingml.chart+xml"/>
  <Override PartName="/xl/charts/chart391.xml" ContentType="application/vnd.openxmlformats-officedocument.drawingml.chart+xml"/>
  <Override PartName="/xl/charts/chart489.xml" ContentType="application/vnd.openxmlformats-officedocument.drawingml.chart+xml"/>
  <Override PartName="/xl/charts/chart530.xml" ContentType="application/vnd.openxmlformats-officedocument.drawingml.chart+xml"/>
  <Override PartName="/xl/charts/chart628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467.xml" ContentType="application/vnd.openxmlformats-officedocument.drawingml.chart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charts/chart259.xml" ContentType="application/vnd.openxmlformats-officedocument.drawingml.chart+xml"/>
  <Override PartName="/xl/charts/chart606.xml" ContentType="application/vnd.openxmlformats-officedocument.drawingml.chart+xml"/>
  <Override PartName="/xl/charts/chart653.xml" ContentType="application/vnd.openxmlformats-officedocument.drawingml.chart+xml"/>
  <Override PartName="/xl/charts/chart54.xml" ContentType="application/vnd.openxmlformats-officedocument.drawingml.chart+xml"/>
  <Override PartName="/xl/charts/chart300.xml" ContentType="application/vnd.openxmlformats-officedocument.drawingml.chart+xml"/>
  <Override PartName="/xl/drawings/drawing11.xml" ContentType="application/vnd.openxmlformats-officedocument.drawing+xml"/>
  <Override PartName="/xl/charts/chart445.xml" ContentType="application/vnd.openxmlformats-officedocument.drawingml.chart+xml"/>
  <Override PartName="/xl/charts/chart492.xml" ContentType="application/vnd.openxmlformats-officedocument.drawingml.chart+xml"/>
  <Override PartName="/xl/charts/chart631.xml" ContentType="application/vnd.openxmlformats-officedocument.drawingml.chart+xml"/>
  <Override PartName="/xl/charts/chart32.xml" ContentType="application/vnd.openxmlformats-officedocument.drawingml.chart+xml"/>
  <Override PartName="/xl/charts/chart237.xml" ContentType="application/vnd.openxmlformats-officedocument.drawingml.chart+xml"/>
  <Override PartName="/xl/charts/chart284.xml" ContentType="application/vnd.openxmlformats-officedocument.drawingml.chart+xml"/>
  <Override PartName="/xl/charts/chart423.xml" ContentType="application/vnd.openxmlformats-officedocument.drawingml.chart+xml"/>
  <Override PartName="/xl/charts/chart470.xml" ContentType="application/vnd.openxmlformats-officedocument.drawingml.chart+xml"/>
  <Override PartName="/xl/charts/chart568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546.xml" ContentType="application/vnd.openxmlformats-officedocument.drawingml.chart+xml"/>
  <Override PartName="/xl/charts/chart593.xml" ContentType="application/vnd.openxmlformats-officedocument.drawingml.chart+xml"/>
  <Override PartName="/xl/charts/chart10.xml" ContentType="application/vnd.openxmlformats-officedocument.drawingml.chart+xml"/>
  <Override PartName="/xl/charts/chart199.xml" ContentType="application/vnd.openxmlformats-officedocument.drawingml.chart+xml"/>
  <Override PartName="/xl/charts/chart338.xml" ContentType="application/vnd.openxmlformats-officedocument.drawingml.chart+xml"/>
  <Override PartName="/xl/charts/chart385.xml" ContentType="application/vnd.openxmlformats-officedocument.drawingml.chart+xml"/>
  <Override PartName="/xl/charts/chart401.xml" ContentType="application/vnd.openxmlformats-officedocument.drawingml.char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charts/chart524.xml" ContentType="application/vnd.openxmlformats-officedocument.drawingml.chart+xml"/>
  <Override PartName="/xl/charts/chart571.xml" ContentType="application/vnd.openxmlformats-officedocument.drawingml.chart+xml"/>
  <Override PartName="/xl/comments7.xml" ContentType="application/vnd.openxmlformats-officedocument.spreadsheetml.comments+xml"/>
  <Override PartName="/xl/charts/chart316.xml" ContentType="application/vnd.openxmlformats-officedocument.drawingml.chart+xml"/>
  <Override PartName="/xl/charts/chart363.xml" ContentType="application/vnd.openxmlformats-officedocument.drawingml.chart+xml"/>
  <Override PartName="/xl/charts/chart502.xml" ContentType="application/vnd.openxmlformats-officedocument.drawingml.chart+xml"/>
  <Override PartName="/xl/charts/chart647.xml" ContentType="application/vnd.openxmlformats-officedocument.drawingml.char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341.xml" ContentType="application/vnd.openxmlformats-officedocument.drawingml.chart+xml"/>
  <Override PartName="/xl/charts/chart439.xml" ContentType="application/vnd.openxmlformats-officedocument.drawingml.chart+xml"/>
  <Override PartName="/xl/charts/chart486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charts/chart278.xml" ContentType="application/vnd.openxmlformats-officedocument.drawingml.chart+xml"/>
  <Override PartName="/xl/charts/chart417.xml" ContentType="application/vnd.openxmlformats-officedocument.drawingml.chart+xml"/>
  <Override PartName="/xl/charts/chart464.xml" ContentType="application/vnd.openxmlformats-officedocument.drawingml.chart+xml"/>
  <Override PartName="/xl/charts/chart625.xml" ContentType="application/vnd.openxmlformats-officedocument.drawingml.char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603.xml" ContentType="application/vnd.openxmlformats-officedocument.drawingml.chart+xml"/>
  <Override PartName="/xl/charts/chart650.xml" ContentType="application/vnd.openxmlformats-officedocument.drawingml.char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charts/chart442.xml" ContentType="application/vnd.openxmlformats-officedocument.drawingml.chart+xml"/>
  <Override PartName="/xl/charts/chart587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379.xml" ContentType="application/vnd.openxmlformats-officedocument.drawingml.chart+xml"/>
  <Override PartName="/xl/charts/chart518.xml" ContentType="application/vnd.openxmlformats-officedocument.drawingml.chart+xml"/>
  <Override PartName="/xl/charts/chart565.xml" ContentType="application/vnd.openxmlformats-officedocument.drawingml.chart+xml"/>
  <Override PartName="/xl/charts/chart357.xml" ContentType="application/vnd.openxmlformats-officedocument.drawingml.chart+xml"/>
  <Override PartName="/xl/charts/chart420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12.xml" ContentType="application/vnd.openxmlformats-officedocument.drawingml.chart+xml"/>
  <Override PartName="/xl/charts/chart543.xml" ContentType="application/vnd.openxmlformats-officedocument.drawingml.chart+xml"/>
  <Override PartName="/xl/charts/chart590.xml" ContentType="application/vnd.openxmlformats-officedocument.drawingml.chart+xml"/>
  <Override PartName="/xl/charts/chart89.xml" ContentType="application/vnd.openxmlformats-officedocument.drawingml.chart+xml"/>
  <Override PartName="/xl/charts/chart335.xml" ContentType="application/vnd.openxmlformats-officedocument.drawingml.chart+xml"/>
  <Override PartName="/xl/charts/chart382.xml" ContentType="application/vnd.openxmlformats-officedocument.drawingml.chart+xml"/>
  <Override PartName="/xl/charts/chart521.xml" ContentType="application/vnd.openxmlformats-officedocument.drawingml.chart+xml"/>
  <Override PartName="/xl/charts/chart619.xml" ContentType="application/vnd.openxmlformats-officedocument.drawingml.chart+xml"/>
  <Override PartName="/xl/charts/chart67.xml" ContentType="application/vnd.openxmlformats-officedocument.drawingml.chart+xml"/>
  <Override PartName="/xl/comments4.xml" ContentType="application/vnd.openxmlformats-officedocument.spreadsheetml.comments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360.xml" ContentType="application/vnd.openxmlformats-officedocument.drawingml.chart+xml"/>
  <Override PartName="/xl/charts/chart458.xml" ContentType="application/vnd.openxmlformats-officedocument.drawingml.chart+xml"/>
  <Override PartName="/xl/charts/chart644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436.xml" ContentType="application/vnd.openxmlformats-officedocument.drawingml.chart+xml"/>
  <Override PartName="/xl/charts/chart483.xml" ContentType="application/vnd.openxmlformats-officedocument.drawingml.chart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charts/chart228.xml" ContentType="application/vnd.openxmlformats-officedocument.drawingml.chart+xml"/>
  <Override PartName="/xl/charts/chart275.xml" ContentType="application/vnd.openxmlformats-officedocument.drawingml.chart+xml"/>
  <Override PartName="/xl/comments14.xml" ContentType="application/vnd.openxmlformats-officedocument.spreadsheetml.comments+xml"/>
  <Override PartName="/xl/charts/chart622.xml" ContentType="application/vnd.openxmlformats-officedocument.drawingml.char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414.xml" ContentType="application/vnd.openxmlformats-officedocument.drawingml.chart+xml"/>
  <Override PartName="/xl/charts/chart461.xml" ContentType="application/vnd.openxmlformats-officedocument.drawingml.chart+xml"/>
  <Override PartName="/xl/charts/chart559.xml" ContentType="application/vnd.openxmlformats-officedocument.drawingml.chart+xml"/>
  <Override PartName="/xl/charts/chart600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Override PartName="/xl/charts/chart398.xml" ContentType="application/vnd.openxmlformats-officedocument.drawingml.chart+xml"/>
  <Override PartName="/xl/charts/chart537.xml" ContentType="application/vnd.openxmlformats-officedocument.drawingml.chart+xml"/>
  <Override PartName="/xl/charts/chart584.xml" ContentType="application/vnd.openxmlformats-officedocument.drawingml.chart+xml"/>
  <Default Extension="bin" ContentType="application/vnd.openxmlformats-officedocument.spreadsheetml.printerSettings"/>
  <Override PartName="/xl/charts/chart231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499.xml" ContentType="application/vnd.openxmlformats-officedocument.drawingml.chart+xml"/>
  <Override PartName="/xl/charts/chart515.xml" ContentType="application/vnd.openxmlformats-officedocument.drawingml.chart+xml"/>
  <Override PartName="/xl/charts/chart562.xml" ContentType="application/vnd.openxmlformats-officedocument.drawingml.chart+xml"/>
  <Override PartName="/xl/charts/chart307.xml" ContentType="application/vnd.openxmlformats-officedocument.drawingml.chart+xml"/>
  <Override PartName="/xl/charts/chart354.xml" ContentType="application/vnd.openxmlformats-officedocument.drawingml.chart+xml"/>
  <Override PartName="/xl/charts/chart540.xml" ContentType="application/vnd.openxmlformats-officedocument.drawingml.chart+xml"/>
  <Override PartName="/xl/charts/chart638.xml" ContentType="application/vnd.openxmlformats-officedocument.drawingml.chart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46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477.xml" ContentType="application/vnd.openxmlformats-officedocument.drawingml.chart+xml"/>
  <Override PartName="/xl/charts/chart61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408.xml" ContentType="application/vnd.openxmlformats-officedocument.drawingml.chart+xml"/>
  <Override PartName="/xl/charts/chart455.xml" ContentType="application/vnd.openxmlformats-officedocument.drawingml.chart+xml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64.xml" ContentType="application/vnd.openxmlformats-officedocument.drawingml.chart+xml"/>
  <Override PartName="/xl/charts/chart247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charts/chart578.xml" ContentType="application/vnd.openxmlformats-officedocument.drawingml.chart+xml"/>
  <Override PartName="/xl/charts/chart641.xml" ContentType="application/vnd.openxmlformats-officedocument.drawingml.char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433.xml" ContentType="application/vnd.openxmlformats-officedocument.drawingml.chart+xml"/>
  <Override PartName="/xl/charts/chart480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411.xml" ContentType="application/vnd.openxmlformats-officedocument.drawingml.chart+xml"/>
  <Override PartName="/xl/comments11.xml" ContentType="application/vnd.openxmlformats-officedocument.spreadsheetml.comments+xml"/>
  <Override PartName="/xl/charts/chart509.xml" ContentType="application/vnd.openxmlformats-officedocument.drawingml.chart+xml"/>
  <Override PartName="/xl/charts/chart556.xml" ContentType="application/vnd.openxmlformats-officedocument.drawingml.chart+xml"/>
  <Override PartName="/xl/charts/chart20.xml" ContentType="application/vnd.openxmlformats-officedocument.drawingml.chart+xml"/>
  <Override PartName="/xl/charts/chart203.xml" ContentType="application/vnd.openxmlformats-officedocument.drawingml.chart+xml"/>
  <Override PartName="/xl/charts/chart250.xml" ContentType="application/vnd.openxmlformats-officedocument.drawingml.chart+xml"/>
  <Override PartName="/xl/charts/chart348.xml" ContentType="application/vnd.openxmlformats-officedocument.drawingml.chart+xml"/>
  <Override PartName="/xl/charts/chart395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charts/chart187.xml" ContentType="application/vnd.openxmlformats-officedocument.drawingml.chart+xml"/>
  <Override PartName="/xl/charts/chart534.xml" ContentType="application/vnd.openxmlformats-officedocument.drawingml.chart+xml"/>
  <Override PartName="/xl/charts/chart581.xml" ContentType="application/vnd.openxmlformats-officedocument.drawingml.char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charts/chart118.xml" ContentType="application/vnd.openxmlformats-officedocument.drawingml.chart+xml"/>
  <Override PartName="/xl/charts/chart165.xml" ContentType="application/vnd.openxmlformats-officedocument.drawingml.chart+xml"/>
  <Override PartName="/xl/charts/chart326.xml" ContentType="application/vnd.openxmlformats-officedocument.drawingml.chart+xml"/>
  <Override PartName="/xl/charts/chart373.xml" ContentType="application/vnd.openxmlformats-officedocument.drawingml.chart+xml"/>
  <Override PartName="/xl/charts/chart512.xml" ContentType="application/vnd.openxmlformats-officedocument.drawingml.chart+xml"/>
  <Override PartName="/xl/charts/chart657.xml" ContentType="application/vnd.openxmlformats-officedocument.drawingml.chart+xml"/>
  <Override PartName="/xl/charts/chart58.xml" ContentType="application/vnd.openxmlformats-officedocument.drawingml.chart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charts/chart449.xml" ContentType="application/vnd.openxmlformats-officedocument.drawingml.chart+xml"/>
  <Override PartName="/xl/charts/chart496.xml" ContentType="application/vnd.openxmlformats-officedocument.drawingml.chart+xml"/>
  <Override PartName="/xl/drawings/drawing15.xml" ContentType="application/vnd.openxmlformats-officedocument.drawing+xml"/>
  <Override PartName="/xl/charts/chart635.xml" ContentType="application/vnd.openxmlformats-officedocument.drawingml.chart+xml"/>
  <Override PartName="/xl/charts/chart36.xml" ContentType="application/vnd.openxmlformats-officedocument.drawingml.chart+xml"/>
  <Override PartName="/xl/charts/chart83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88.xml" ContentType="application/vnd.openxmlformats-officedocument.drawingml.chart+xml"/>
  <Override PartName="/xl/charts/chart427.xml" ContentType="application/vnd.openxmlformats-officedocument.drawingml.chart+xml"/>
  <Override PartName="/xl/charts/chart474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597.xml" ContentType="application/vnd.openxmlformats-officedocument.drawingml.chart+xml"/>
  <Override PartName="/xl/charts/chart613.xml" ContentType="application/vnd.openxmlformats-officedocument.drawingml.chart+xml"/>
  <Override PartName="/xl/charts/chart660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21.xml" ContentType="application/vnd.openxmlformats-officedocument.drawingml.chart+xml"/>
  <Override PartName="/xl/charts/chart389.xml" ContentType="application/vnd.openxmlformats-officedocument.drawingml.chart+xml"/>
  <Override PartName="/xl/charts/chart405.xml" ContentType="application/vnd.openxmlformats-officedocument.drawingml.chart+xml"/>
  <Override PartName="/xl/charts/chart452.xml" ContentType="application/vnd.openxmlformats-officedocument.drawingml.chart+xml"/>
  <Override PartName="/xl/charts/chart244.xml" ContentType="application/vnd.openxmlformats-officedocument.drawingml.chart+xml"/>
  <Override PartName="/xl/charts/chart291.xml" ContentType="application/vnd.openxmlformats-officedocument.drawingml.chart+xml"/>
  <Override PartName="/xl/charts/chart430.xml" ContentType="application/vnd.openxmlformats-officedocument.drawingml.chart+xml"/>
  <Override PartName="/xl/charts/chart528.xml" ContentType="application/vnd.openxmlformats-officedocument.drawingml.chart+xml"/>
  <Override PartName="/xl/charts/chart575.xml" ContentType="application/vnd.openxmlformats-officedocument.drawingml.chart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506.xml" ContentType="application/vnd.openxmlformats-officedocument.drawingml.chart+xml"/>
  <Override PartName="/xl/charts/chart553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45.xml" ContentType="application/vnd.openxmlformats-officedocument.drawingml.chart+xml"/>
  <Override PartName="/xl/charts/chart356.xml" ContentType="application/vnd.openxmlformats-officedocument.drawingml.chart+xml"/>
  <Override PartName="/xl/charts/chart392.xml" ContentType="application/vnd.openxmlformats-officedocument.drawingml.chart+xml"/>
  <Override PartName="/xl/charts/chart542.xml" ContentType="application/vnd.openxmlformats-officedocument.drawingml.chart+xml"/>
  <Override PartName="/xl/worksheets/sheet6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88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charts/chart479.xml" ContentType="application/vnd.openxmlformats-officedocument.drawingml.chart+xml"/>
  <Override PartName="/xl/charts/chart531.xml" ContentType="application/vnd.openxmlformats-officedocument.drawingml.chart+xml"/>
  <Override PartName="/xl/charts/chart618.xml" ContentType="application/vnd.openxmlformats-officedocument.drawingml.chart+xml"/>
  <Override PartName="/xl/charts/chart629.xml" ContentType="application/vnd.openxmlformats-officedocument.drawingml.chart+xml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charts/chart457.xml" ContentType="application/vnd.openxmlformats-officedocument.drawingml.chart+xml"/>
  <Override PartName="/xl/charts/chart468.xml" ContentType="application/vnd.openxmlformats-officedocument.drawingml.chart+xml"/>
  <Override PartName="/xl/charts/chart520.xml" ContentType="application/vnd.openxmlformats-officedocument.drawingml.chart+xml"/>
  <Override PartName="/xl/charts/chart607.xml" ContentType="application/vnd.openxmlformats-officedocument.drawingml.chart+xml"/>
  <Override PartName="/xl/charts/chart654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6.xml" ContentType="application/vnd.openxmlformats-officedocument.drawingml.chart+xml"/>
  <Override PartName="/xl/charts/chart493.xml" ContentType="application/vnd.openxmlformats-officedocument.drawingml.chart+xml"/>
  <Override PartName="/xl/charts/chart643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drawings/drawing12.xml" ContentType="application/vnd.openxmlformats-officedocument.drawing+xml"/>
  <Override PartName="/xl/charts/chart435.xml" ContentType="application/vnd.openxmlformats-officedocument.drawingml.chart+xml"/>
  <Override PartName="/xl/charts/chart482.xml" ContentType="application/vnd.openxmlformats-officedocument.drawingml.chart+xml"/>
  <Override PartName="/xl/charts/chart569.xml" ContentType="application/vnd.openxmlformats-officedocument.drawingml.chart+xml"/>
  <Override PartName="/xl/charts/chart621.xml" ContentType="application/vnd.openxmlformats-officedocument.drawingml.chart+xml"/>
  <Override PartName="/xl/charts/chart632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413.xml" ContentType="application/vnd.openxmlformats-officedocument.drawingml.chart+xml"/>
  <Override PartName="/xl/charts/chart424.xml" ContentType="application/vnd.openxmlformats-officedocument.drawingml.chart+xml"/>
  <Override PartName="/xl/charts/chart460.xml" ContentType="application/vnd.openxmlformats-officedocument.drawingml.chart+xml"/>
  <Override PartName="/xl/charts/chart471.xml" ContentType="application/vnd.openxmlformats-officedocument.drawingml.chart+xml"/>
  <Override PartName="/xl/comments13.xml" ContentType="application/vnd.openxmlformats-officedocument.spreadsheetml.comments+xml"/>
  <Override PartName="/xl/charts/chart558.xml" ContentType="application/vnd.openxmlformats-officedocument.drawingml.chart+xml"/>
  <Override PartName="/xl/charts/chart610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charts/chart397.xml" ContentType="application/vnd.openxmlformats-officedocument.drawingml.chart+xml"/>
  <Override PartName="/xl/charts/chart402.xml" ContentType="application/vnd.openxmlformats-officedocument.drawingml.chart+xml"/>
  <Override PartName="/xl/charts/chart547.xml" ContentType="application/vnd.openxmlformats-officedocument.drawingml.chart+xml"/>
  <Override PartName="/xl/charts/chart594.xml" ContentType="application/vnd.openxmlformats-officedocument.drawingml.chart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charts/chart386.xml" ContentType="application/vnd.openxmlformats-officedocument.drawingml.chart+xml"/>
  <Override PartName="/xl/charts/chart525.xml" ContentType="application/vnd.openxmlformats-officedocument.drawingml.chart+xml"/>
  <Override PartName="/xl/charts/chart572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omments8.xml" ContentType="application/vnd.openxmlformats-officedocument.spreadsheetml.comments+xml"/>
  <Override PartName="/xl/charts/chart364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487.xml" ContentType="application/vnd.openxmlformats-officedocument.drawingml.chart+xml"/>
  <Override PartName="/xl/charts/chart503.xml" ContentType="application/vnd.openxmlformats-officedocument.drawingml.chart+xml"/>
  <Override PartName="/xl/charts/chart550.xml" ContentType="application/vnd.openxmlformats-officedocument.drawingml.chart+xml"/>
  <Override PartName="/xl/charts/chart648.xml" ContentType="application/vnd.openxmlformats-officedocument.drawingml.char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charts/chart62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charts/chart418.xml" ContentType="application/vnd.openxmlformats-officedocument.drawingml.chart+xml"/>
  <Override PartName="/xl/charts/chart465.xml" ContentType="application/vnd.openxmlformats-officedocument.drawingml.chart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88.xml" ContentType="application/vnd.openxmlformats-officedocument.drawingml.chart+xml"/>
  <Override PartName="/xl/charts/chart604.xml" ContentType="application/vnd.openxmlformats-officedocument.drawingml.chart+xml"/>
  <Override PartName="/xl/charts/chart651.xml" ContentType="application/vnd.openxmlformats-officedocument.drawingml.chart+xml"/>
  <Override PartName="/xl/charts/chart52.xml" ContentType="application/vnd.openxmlformats-officedocument.drawingml.chart+xml"/>
  <Override PartName="/xl/charts/chart443.xml" ContentType="application/vnd.openxmlformats-officedocument.drawingml.chart+xml"/>
  <Override PartName="/xl/charts/chart490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235.xml" ContentType="application/vnd.openxmlformats-officedocument.drawingml.chart+xml"/>
  <Override PartName="/xl/charts/chart282.xml" ContentType="application/vnd.openxmlformats-officedocument.drawingml.chart+xml"/>
  <Override PartName="/xl/charts/chart421.xml" ContentType="application/vnd.openxmlformats-officedocument.drawingml.chart+xml"/>
  <Override PartName="/xl/charts/chart519.xml" ContentType="application/vnd.openxmlformats-officedocument.drawingml.chart+xml"/>
  <Override PartName="/xl/charts/chart566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58.xml" ContentType="application/vnd.openxmlformats-officedocument.drawingml.chart+xml"/>
  <Override PartName="/xl/charts/chart544.xml" ContentType="application/vnd.openxmlformats-officedocument.drawingml.chart+xml"/>
  <Override PartName="/xl/charts/chart591.xml" ContentType="application/vnd.openxmlformats-officedocument.drawingml.chart+xml"/>
  <Override PartName="/xl/charts/chart197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charts/chart459.xml" ContentType="application/vnd.openxmlformats-officedocument.drawingml.chart+xml"/>
  <Override PartName="/xl/charts/chart522.xml" ContentType="application/vnd.openxmlformats-officedocument.drawingml.chart+xml"/>
  <Override PartName="/xl/charts/chart68.xml" ContentType="application/vnd.openxmlformats-officedocument.drawingml.chart+xml"/>
  <Override PartName="/xl/comments5.xml" ContentType="application/vnd.openxmlformats-officedocument.spreadsheetml.comment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xl/charts/chart500.xml" ContentType="application/vnd.openxmlformats-officedocument.drawingml.chart+xml"/>
  <Override PartName="/xl/charts/chart645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53.xml" ContentType="application/vnd.openxmlformats-officedocument.drawingml.chart+xml"/>
  <Override PartName="/xl/charts/chart437.xml" ContentType="application/vnd.openxmlformats-officedocument.drawingml.chart+xml"/>
  <Override PartName="/xl/charts/chart484.xml" ContentType="application/vnd.openxmlformats-officedocument.drawingml.chart+xml"/>
  <Override PartName="/xl/charts/chart623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harts/chart415.xml" ContentType="application/vnd.openxmlformats-officedocument.drawingml.chart+xml"/>
  <Override PartName="/xl/charts/chart462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207.xml" ContentType="application/vnd.openxmlformats-officedocument.drawingml.chart+xml"/>
  <Override PartName="/xl/charts/chart254.xml" ContentType="application/vnd.openxmlformats-officedocument.drawingml.chart+xml"/>
  <Override PartName="/xl/charts/chart399.xml" ContentType="application/vnd.openxmlformats-officedocument.drawingml.chart+xml"/>
  <Override PartName="/xl/charts/chart601.xml" ContentType="application/vnd.openxmlformats-officedocument.drawingml.chart+xml"/>
  <Override PartName="/xl/charts/chart440.xml" ContentType="application/vnd.openxmlformats-officedocument.drawingml.chart+xml"/>
  <Override PartName="/xl/charts/chart538.xml" ContentType="application/vnd.openxmlformats-officedocument.drawingml.chart+xml"/>
  <Override PartName="/xl/charts/chart585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77.xml" ContentType="application/vnd.openxmlformats-officedocument.drawingml.chart+xml"/>
  <Override PartName="/xl/charts/chart516.xml" ContentType="application/vnd.openxmlformats-officedocument.drawingml.chart+xml"/>
  <Override PartName="/xl/charts/chart563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charts/chart639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478.xml" ContentType="application/vnd.openxmlformats-officedocument.drawingml.chart+xml"/>
  <Override PartName="/xl/charts/chart541.xml" ContentType="application/vnd.openxmlformats-officedocument.drawingml.chart+xml"/>
  <Override PartName="/xl/charts/chart87.xml" ContentType="application/vnd.openxmlformats-officedocument.drawingml.chart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charts/chart617.xml" ContentType="application/vnd.openxmlformats-officedocument.drawingml.chart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charts/chart311.xml" ContentType="application/vnd.openxmlformats-officedocument.drawingml.chart+xml"/>
  <Override PartName="/xl/charts/chart409.xml" ContentType="application/vnd.openxmlformats-officedocument.drawingml.chart+xml"/>
  <Override PartName="/xl/charts/chart456.xml" ContentType="application/vnd.openxmlformats-officedocument.drawingml.chart+xml"/>
  <Override PartName="/xl/charts/chart642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434.xml" ContentType="application/vnd.openxmlformats-officedocument.drawingml.chart+xml"/>
  <Override PartName="/xl/charts/chart481.xml" ContentType="application/vnd.openxmlformats-officedocument.drawingml.chart+xml"/>
  <Override PartName="/xl/charts/chart579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73.xml" ContentType="application/vnd.openxmlformats-officedocument.drawingml.chart+xml"/>
  <Override PartName="/xl/comments12.xml" ContentType="application/vnd.openxmlformats-officedocument.spreadsheetml.comments+xml"/>
  <Override PartName="/xl/charts/chart620.xml" ContentType="application/vnd.openxmlformats-officedocument.drawingml.chart+xml"/>
  <Override PartName="/xl/charts/chart21.xml" ContentType="application/vnd.openxmlformats-officedocument.drawingml.chart+xml"/>
  <Override PartName="/xl/charts/chart412.xml" ContentType="application/vnd.openxmlformats-officedocument.drawingml.chart+xml"/>
  <Override PartName="/xl/charts/chart557.xml" ContentType="application/vnd.openxmlformats-officedocument.drawingml.chart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9.xml" ContentType="application/vnd.openxmlformats-officedocument.drawing+xml"/>
  <Override PartName="/xl/charts/chart251.xml" ContentType="application/vnd.openxmlformats-officedocument.drawingml.chart+xml"/>
  <Override PartName="/xl/charts/chart349.xml" ContentType="application/vnd.openxmlformats-officedocument.drawingml.chart+xml"/>
  <Override PartName="/xl/charts/chart396.xml" ContentType="application/vnd.openxmlformats-officedocument.drawingml.chart+xml"/>
  <Override PartName="/xl/charts/chart535.xml" ContentType="application/vnd.openxmlformats-officedocument.drawingml.chart+xml"/>
  <Override PartName="/xl/charts/chart582.xml" ContentType="application/vnd.openxmlformats-officedocument.drawingml.chart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charts/chart658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497.xml" ContentType="application/vnd.openxmlformats-officedocument.drawingml.chart+xml"/>
  <Override PartName="/xl/charts/chart513.xml" ContentType="application/vnd.openxmlformats-officedocument.drawingml.chart+xml"/>
  <Override PartName="/xl/charts/chart560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52.xml" ContentType="application/vnd.openxmlformats-officedocument.drawingml.chart+xml"/>
  <Override PartName="/xl/drawings/drawing16.xml" ContentType="application/vnd.openxmlformats-officedocument.drawing+xml"/>
  <Override PartName="/xl/charts/chart636.xml" ContentType="application/vnd.openxmlformats-officedocument.drawingml.chart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44.xml" ContentType="application/vnd.openxmlformats-officedocument.drawingml.chart+xml"/>
  <Override PartName="/xl/charts/chart191.xml" ContentType="application/vnd.openxmlformats-officedocument.drawingml.chart+xml"/>
  <Override PartName="/xl/charts/chart330.xml" ContentType="application/vnd.openxmlformats-officedocument.drawingml.chart+xml"/>
  <Override PartName="/xl/charts/chart428.xml" ContentType="application/vnd.openxmlformats-officedocument.drawingml.chart+xml"/>
  <Override PartName="/xl/charts/chart475.xml" ContentType="application/vnd.openxmlformats-officedocument.drawingml.chart+xml"/>
  <Override PartName="/xl/charts/chart614.xml" ContentType="application/vnd.openxmlformats-officedocument.drawingml.chart+xml"/>
  <Override PartName="/xl/charts/chart661.xml" ContentType="application/vnd.openxmlformats-officedocument.drawingml.chart+xml"/>
  <Override PartName="/xl/charts/chart122.xml" ContentType="application/vnd.openxmlformats-officedocument.drawingml.chart+xml"/>
  <Override PartName="/xl/charts/chart267.xml" ContentType="application/vnd.openxmlformats-officedocument.drawingml.chart+xml"/>
  <Override PartName="/xl/charts/chart406.xml" ContentType="application/vnd.openxmlformats-officedocument.drawingml.chart+xml"/>
  <Override PartName="/xl/charts/chart453.xml" ContentType="application/vnd.openxmlformats-officedocument.drawingml.chart+xml"/>
  <Override PartName="/xl/charts/chart598.xml" ContentType="application/vnd.openxmlformats-officedocument.drawingml.char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529.xml" ContentType="application/vnd.openxmlformats-officedocument.drawingml.chart+xml"/>
  <Override PartName="/xl/charts/chart576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368.xml" ContentType="application/vnd.openxmlformats-officedocument.drawingml.chart+xml"/>
  <Override PartName="/xl/charts/chart431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507.xml" ContentType="application/vnd.openxmlformats-officedocument.drawingml.chart+xml"/>
  <Override PartName="/xl/charts/chart554.xml" ContentType="application/vnd.openxmlformats-officedocument.drawingml.chart+xml"/>
  <Override PartName="/xl/drawings/drawing6.xml" ContentType="application/vnd.openxmlformats-officedocument.drawing+xml"/>
  <Override PartName="/xl/charts/chart201.xml" ContentType="application/vnd.openxmlformats-officedocument.drawingml.chart+xml"/>
  <Override PartName="/xl/charts/chart346.xml" ContentType="application/vnd.openxmlformats-officedocument.drawingml.chart+xml"/>
  <Override PartName="/xl/charts/chart393.xml" ContentType="application/vnd.openxmlformats-officedocument.drawingml.chart+xml"/>
  <Override PartName="/xl/charts/chart532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71.xml" ContentType="application/vnd.openxmlformats-officedocument.drawingml.chart+xml"/>
  <Override PartName="/xl/charts/chart469.xml" ContentType="application/vnd.openxmlformats-officedocument.drawingml.chart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charts/chart510.xml" ContentType="application/vnd.openxmlformats-officedocument.drawingml.chart+xml"/>
  <Override PartName="/xl/charts/chart608.xml" ContentType="application/vnd.openxmlformats-officedocument.drawingml.chart+xml"/>
  <Override PartName="/xl/charts/chart655.xml" ContentType="application/vnd.openxmlformats-officedocument.drawingml.chart+xml"/>
  <Override PartName="/xl/charts/chart56.xml" ContentType="application/vnd.openxmlformats-officedocument.drawingml.chart+xml"/>
  <Override PartName="/xl/charts/chart302.xml" ContentType="application/vnd.openxmlformats-officedocument.drawingml.chart+xml"/>
  <Override PartName="/xl/drawings/drawing13.xml" ContentType="application/vnd.openxmlformats-officedocument.drawing+xml"/>
  <Override PartName="/xl/charts/chart447.xml" ContentType="application/vnd.openxmlformats-officedocument.drawingml.chart+xml"/>
  <Override PartName="/xl/charts/chart494.xml" ContentType="application/vnd.openxmlformats-officedocument.drawingml.chart+xml"/>
  <Override PartName="/xl/charts/chart633.xml" ContentType="application/vnd.openxmlformats-officedocument.drawingml.char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charts/chart141.xml" ContentType="application/vnd.openxmlformats-officedocument.drawingml.chart+xml"/>
  <Override PartName="/xl/charts/chart239.xml" ContentType="application/vnd.openxmlformats-officedocument.drawingml.chart+xml"/>
  <Override PartName="/xl/charts/chart286.xml" ContentType="application/vnd.openxmlformats-officedocument.drawingml.chart+xml"/>
  <Override PartName="/xl/charts/chart425.xml" ContentType="application/vnd.openxmlformats-officedocument.drawingml.chart+xml"/>
  <Override PartName="/xl/charts/chart472.xml" ContentType="application/vnd.openxmlformats-officedocument.drawingml.chart+xml"/>
  <Override PartName="/xl/sharedStrings.xml" ContentType="application/vnd.openxmlformats-officedocument.spreadsheetml.sharedStrings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548.xml" ContentType="application/vnd.openxmlformats-officedocument.drawingml.chart+xml"/>
  <Override PartName="/xl/charts/chart595.xml" ContentType="application/vnd.openxmlformats-officedocument.drawingml.chart+xml"/>
  <Override PartName="/xl/charts/chart611.xml" ContentType="application/vnd.openxmlformats-officedocument.drawingml.chart+xml"/>
  <Override PartName="/xl/charts/chart12.xml" ContentType="application/vnd.openxmlformats-officedocument.drawingml.chart+xml"/>
  <Override PartName="/xl/charts/chart387.xml" ContentType="application/vnd.openxmlformats-officedocument.drawingml.chart+xml"/>
  <Override PartName="/xl/charts/chart403.xml" ContentType="application/vnd.openxmlformats-officedocument.drawingml.chart+xml"/>
  <Override PartName="/xl/charts/chart450.xml" ContentType="application/vnd.openxmlformats-officedocument.drawingml.chart+xml"/>
  <Override PartName="/xl/charts/chart179.xml" ContentType="application/vnd.openxmlformats-officedocument.drawingml.chart+xml"/>
  <Override PartName="/xl/charts/chart242.xml" ContentType="application/vnd.openxmlformats-officedocument.drawingml.chart+xml"/>
  <Override PartName="/xl/charts/chart526.xml" ContentType="application/vnd.openxmlformats-officedocument.drawingml.chart+xml"/>
  <Override PartName="/xl/charts/chart573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omments9.xml" ContentType="application/vnd.openxmlformats-officedocument.spreadsheetml.comments+xml"/>
  <Override PartName="/xl/charts/chart365.xml" ContentType="application/vnd.openxmlformats-officedocument.drawingml.chart+xml"/>
  <Override PartName="/xl/charts/chart504.xml" ContentType="application/vnd.openxmlformats-officedocument.drawingml.chart+xml"/>
  <Override PartName="/xl/charts/chart551.xml" ContentType="application/vnd.openxmlformats-officedocument.drawingml.chart+xml"/>
  <Override PartName="/xl/charts/chart649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43.xml" ContentType="application/vnd.openxmlformats-officedocument.drawingml.chart+xml"/>
  <Override PartName="/xl/charts/chart390.xml" ContentType="application/vnd.openxmlformats-officedocument.drawingml.chart+xml"/>
  <Override PartName="/xl/charts/chart488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135.xml" ContentType="application/vnd.openxmlformats-officedocument.drawingml.chart+xml"/>
  <Override PartName="/xl/charts/chart182.xml" ContentType="application/vnd.openxmlformats-officedocument.drawingml.chart+xml"/>
  <Override PartName="/xl/charts/chart627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321.xml" ContentType="application/vnd.openxmlformats-officedocument.drawingml.chart+xml"/>
  <Override PartName="/xl/charts/chart419.xml" ContentType="application/vnd.openxmlformats-officedocument.drawingml.chart+xml"/>
  <Override PartName="/xl/charts/chart466.xml" ContentType="application/vnd.openxmlformats-officedocument.drawingml.chart+xml"/>
  <Override PartName="/xl/charts/chart605.xml" ContentType="application/vnd.openxmlformats-officedocument.drawingml.chart+xml"/>
  <Override PartName="/xl/charts/chart652.xml" ContentType="application/vnd.openxmlformats-officedocument.drawingml.chart+xml"/>
  <Default Extension="vml" ContentType="application/vnd.openxmlformats-officedocument.vmlDrawing"/>
  <Override PartName="/xl/charts/chart53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58.xml" ContentType="application/vnd.openxmlformats-officedocument.drawingml.chart+xml"/>
  <Override PartName="/xl/charts/chart444.xml" ContentType="application/vnd.openxmlformats-officedocument.drawingml.chart+xml"/>
  <Override PartName="/xl/charts/chart491.xml" ContentType="application/vnd.openxmlformats-officedocument.drawingml.chart+xml"/>
  <Override PartName="/xl/charts/chart589.xml" ContentType="application/vnd.openxmlformats-officedocument.drawingml.chart+xml"/>
  <Override PartName="/xl/charts/chart236.xml" ContentType="application/vnd.openxmlformats-officedocument.drawingml.chart+xml"/>
  <Override PartName="/xl/drawings/drawing10.xml" ContentType="application/vnd.openxmlformats-officedocument.drawing+xml"/>
  <Override PartName="/xl/charts/chart283.xml" ContentType="application/vnd.openxmlformats-officedocument.drawingml.chart+xml"/>
  <Override PartName="/xl/charts/chart567.xml" ContentType="application/vnd.openxmlformats-officedocument.drawingml.chart+xml"/>
  <Override PartName="/xl/charts/chart630.xml" ContentType="application/vnd.openxmlformats-officedocument.drawingml.chart+xml"/>
  <Override PartName="/xl/charts/chart31.xml" ContentType="application/vnd.openxmlformats-officedocument.drawingml.chart+xml"/>
  <Override PartName="/xl/charts/chart359.xml" ContentType="application/vnd.openxmlformats-officedocument.drawingml.chart+xml"/>
  <Override PartName="/xl/charts/chart422.xml" ContentType="application/vnd.openxmlformats-officedocument.drawingml.chart+xml"/>
  <Override PartName="/docProps/core.xml" ContentType="application/vnd.openxmlformats-package.core-properties+xml"/>
  <Override PartName="/xl/charts/chart198.xml" ContentType="application/vnd.openxmlformats-officedocument.drawingml.chart+xml"/>
  <Override PartName="/xl/charts/chart214.xml" ContentType="application/vnd.openxmlformats-officedocument.drawingml.chart+xml"/>
  <Override PartName="/xl/charts/chart261.xml" ContentType="application/vnd.openxmlformats-officedocument.drawingml.chart+xml"/>
  <Override PartName="/xl/charts/chart400.xml" ContentType="application/vnd.openxmlformats-officedocument.drawingml.chart+xml"/>
  <Override PartName="/xl/charts/chart545.xml" ContentType="application/vnd.openxmlformats-officedocument.drawingml.chart+xml"/>
  <Override PartName="/xl/charts/chart592.xml" ContentType="application/vnd.openxmlformats-officedocument.drawingml.chart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charts/chart523.xml" ContentType="application/vnd.openxmlformats-officedocument.drawingml.chart+xml"/>
  <Override PartName="/xl/charts/chart570.xml" ContentType="application/vnd.openxmlformats-officedocument.drawingml.chart+xml"/>
  <Override PartName="/xl/charts/chart69.xml" ContentType="application/vnd.openxmlformats-officedocument.drawingml.chart+xml"/>
  <Override PartName="/xl/charts/chart129.xml" ContentType="application/vnd.openxmlformats-officedocument.drawingml.chart+xml"/>
  <Override PartName="/xl/charts/chart176.xml" ContentType="application/vnd.openxmlformats-officedocument.drawingml.chart+xml"/>
  <Override PartName="/xl/comments6.xml" ContentType="application/vnd.openxmlformats-officedocument.spreadsheetml.comments+xml"/>
  <Override PartName="/xl/charts/chart315.xml" ContentType="application/vnd.openxmlformats-officedocument.drawingml.chart+xml"/>
  <Override PartName="/xl/charts/chart362.xml" ContentType="application/vnd.openxmlformats-officedocument.drawingml.chart+xml"/>
  <Override PartName="/xl/charts/chart646.xml" ContentType="application/vnd.openxmlformats-officedocument.drawingml.chart+xml"/>
  <Default Extension="rels" ContentType="application/vnd.openxmlformats-package.relationships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438.xml" ContentType="application/vnd.openxmlformats-officedocument.drawingml.chart+xml"/>
  <Override PartName="/xl/charts/chart485.xml" ContentType="application/vnd.openxmlformats-officedocument.drawingml.chart+xml"/>
  <Override PartName="/xl/charts/chart501.xml" ContentType="application/vnd.openxmlformats-officedocument.drawingml.chart+xml"/>
  <Override PartName="/xl/charts/chart47.xml" ContentType="application/vnd.openxmlformats-officedocument.drawingml.chart+xml"/>
  <Override PartName="/xl/charts/chart94.xml" ContentType="application/vnd.openxmlformats-officedocument.drawingml.chart+xml"/>
  <Override PartName="/xl/charts/chart277.xml" ContentType="application/vnd.openxmlformats-officedocument.drawingml.chart+xml"/>
  <Override PartName="/xl/charts/chart340.xml" ContentType="application/vnd.openxmlformats-officedocument.drawingml.chart+xml"/>
  <Override PartName="/xl/charts/chart62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416.xml" ContentType="application/vnd.openxmlformats-officedocument.drawingml.chart+xml"/>
  <Override PartName="/xl/charts/chart463.xml" ContentType="application/vnd.openxmlformats-officedocument.drawingml.chart+xml"/>
  <Override PartName="/xl/charts/chart110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39.xml" ContentType="application/vnd.openxmlformats-officedocument.drawingml.chart+xml"/>
  <Override PartName="/xl/charts/chart586.xml" ContentType="application/vnd.openxmlformats-officedocument.drawingml.chart+xml"/>
  <Override PartName="/xl/charts/chart602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80.xml" ContentType="application/vnd.openxmlformats-officedocument.drawingml.chart+xml"/>
  <Override PartName="/xl/charts/chart378.xml" ContentType="application/vnd.openxmlformats-officedocument.drawingml.chart+xml"/>
  <Override PartName="/xl/charts/chart441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517.xml" ContentType="application/vnd.openxmlformats-officedocument.drawingml.chart+xml"/>
  <Override PartName="/xl/charts/chart56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-1848" yWindow="4440" windowWidth="17496" windowHeight="3648" activeTab="3"/>
  </bookViews>
  <sheets>
    <sheet name="Navigation" sheetId="45" r:id="rId1"/>
    <sheet name="O2k" sheetId="54" r:id="rId2"/>
    <sheet name="Summary" sheetId="68" r:id="rId3"/>
    <sheet name="Cohort-32D" sheetId="49" r:id="rId4"/>
    <sheet name="#1-32D" sheetId="40" r:id="rId5"/>
    <sheet name="#2-32D" sheetId="55" r:id="rId6"/>
    <sheet name="#3-32D" sheetId="56" r:id="rId7"/>
    <sheet name="#4-32D" sheetId="57" r:id="rId8"/>
    <sheet name="#5-32D" sheetId="58" r:id="rId9"/>
    <sheet name="#6-32D" sheetId="59" r:id="rId10"/>
    <sheet name="Cohort-439" sheetId="61" r:id="rId11"/>
    <sheet name="#1-439" sheetId="62" r:id="rId12"/>
    <sheet name="#2-439" sheetId="60" r:id="rId13"/>
    <sheet name="#3-439" sheetId="63" r:id="rId14"/>
    <sheet name="#4-439" sheetId="64" r:id="rId15"/>
    <sheet name="#5-439" sheetId="65" r:id="rId16"/>
    <sheet name="#6-439" sheetId="66" r:id="rId17"/>
  </sheets>
  <definedNames>
    <definedName name="CPCD" localSheetId="11">'#1-439'!#REF!</definedName>
    <definedName name="CPCD" localSheetId="5">'#2-32D'!#REF!</definedName>
    <definedName name="CPCD" localSheetId="12">'#2-439'!#REF!</definedName>
    <definedName name="CPCD" localSheetId="6">'#3-32D'!#REF!</definedName>
    <definedName name="CPCD" localSheetId="13">'#3-439'!#REF!</definedName>
    <definedName name="CPCD" localSheetId="7">'#4-32D'!#REF!</definedName>
    <definedName name="CPCD" localSheetId="14">'#4-439'!#REF!</definedName>
    <definedName name="CPCD" localSheetId="8">'#5-32D'!#REF!</definedName>
    <definedName name="CPCD" localSheetId="15">'#5-439'!#REF!</definedName>
    <definedName name="CPCD" localSheetId="9">'#6-32D'!#REF!</definedName>
    <definedName name="CPCD" localSheetId="16">'#6-439'!#REF!</definedName>
    <definedName name="CPCD" localSheetId="3">'Cohort-32D'!$AM$23</definedName>
    <definedName name="CPCD" localSheetId="10">'Cohort-439'!$AM$23</definedName>
    <definedName name="CPCD">'#1-32D'!#REF!</definedName>
    <definedName name="MSa" localSheetId="11">'#1-439'!$AA$44</definedName>
    <definedName name="MSa" localSheetId="5">'#2-32D'!$AA$44</definedName>
    <definedName name="MSa" localSheetId="12">'#2-439'!$AA$44</definedName>
    <definedName name="MSa" localSheetId="6">'#3-32D'!$AA$44</definedName>
    <definedName name="MSa" localSheetId="13">'#3-439'!$AA$44</definedName>
    <definedName name="MSa" localSheetId="7">'#4-32D'!$AA$44</definedName>
    <definedName name="MSa" localSheetId="14">'#4-439'!$AA$44</definedName>
    <definedName name="MSa" localSheetId="8">'#5-32D'!$AA$44</definedName>
    <definedName name="MSa" localSheetId="15">'#5-439'!$AA$44</definedName>
    <definedName name="MSa" localSheetId="9">'#6-32D'!$AA$44</definedName>
    <definedName name="MSa" localSheetId="16">'#6-439'!$AA$44</definedName>
    <definedName name="MSa">'#1-32D'!$AA$44</definedName>
    <definedName name="MSb" localSheetId="11">'#1-439'!$AA$64</definedName>
    <definedName name="MSb" localSheetId="5">'#2-32D'!$AA$64</definedName>
    <definedName name="MSb" localSheetId="12">'#2-439'!$AA$64</definedName>
    <definedName name="MSb" localSheetId="6">'#3-32D'!$AA$64</definedName>
    <definedName name="MSb" localSheetId="13">'#3-439'!$AA$64</definedName>
    <definedName name="MSb" localSheetId="7">'#4-32D'!$AA$64</definedName>
    <definedName name="MSb" localSheetId="14">'#4-439'!$AA$64</definedName>
    <definedName name="MSb" localSheetId="8">'#5-32D'!$AA$64</definedName>
    <definedName name="MSb" localSheetId="15">'#5-439'!$AA$64</definedName>
    <definedName name="MSb" localSheetId="9">'#6-32D'!$AA$64</definedName>
    <definedName name="MSb" localSheetId="16">'#6-439'!$AA$64</definedName>
    <definedName name="MSb">'#1-32D'!$AA$64</definedName>
    <definedName name="MSc" localSheetId="11">'#1-439'!$AA$84</definedName>
    <definedName name="MSc" localSheetId="5">'#2-32D'!$AA$84</definedName>
    <definedName name="MSc" localSheetId="12">'#2-439'!$AA$84</definedName>
    <definedName name="MSc" localSheetId="6">'#3-32D'!$AA$84</definedName>
    <definedName name="MSc" localSheetId="13">'#3-439'!$AA$84</definedName>
    <definedName name="MSc" localSheetId="7">'#4-32D'!$AA$84</definedName>
    <definedName name="MSc" localSheetId="14">'#4-439'!$AA$84</definedName>
    <definedName name="MSc" localSheetId="8">'#5-32D'!$AA$84</definedName>
    <definedName name="MSc" localSheetId="15">'#5-439'!$AA$84</definedName>
    <definedName name="MSc" localSheetId="9">'#6-32D'!$AA$84</definedName>
    <definedName name="MSc" localSheetId="16">'#6-439'!$AA$84</definedName>
    <definedName name="MSc">'#1-32D'!$AA$84</definedName>
    <definedName name="MSd" localSheetId="11">'#1-439'!$AA$104</definedName>
    <definedName name="MSd" localSheetId="5">'#2-32D'!$AA$104</definedName>
    <definedName name="MSd" localSheetId="12">'#2-439'!$AA$104</definedName>
    <definedName name="MSd" localSheetId="6">'#3-32D'!$AA$104</definedName>
    <definedName name="MSd" localSheetId="13">'#3-439'!$AA$104</definedName>
    <definedName name="MSd" localSheetId="7">'#4-32D'!$AA$104</definedName>
    <definedName name="MSd" localSheetId="14">'#4-439'!$AA$104</definedName>
    <definedName name="MSd" localSheetId="8">'#5-32D'!$AA$104</definedName>
    <definedName name="MSd" localSheetId="15">'#5-439'!$AA$104</definedName>
    <definedName name="MSd" localSheetId="9">'#6-32D'!$AA$104</definedName>
    <definedName name="MSd" localSheetId="16">'#6-439'!$AA$104</definedName>
    <definedName name="MSd">'#1-32D'!$AA$104</definedName>
    <definedName name="MSe" localSheetId="11">'#1-439'!$AA$124</definedName>
    <definedName name="MSe" localSheetId="5">'#2-32D'!$AA$124</definedName>
    <definedName name="MSe" localSheetId="12">'#2-439'!$AA$124</definedName>
    <definedName name="MSe" localSheetId="6">'#3-32D'!$AA$124</definedName>
    <definedName name="MSe" localSheetId="13">'#3-439'!$AA$124</definedName>
    <definedName name="MSe" localSheetId="7">'#4-32D'!$AA$124</definedName>
    <definedName name="MSe" localSheetId="14">'#4-439'!$AA$124</definedName>
    <definedName name="MSe" localSheetId="8">'#5-32D'!$AA$124</definedName>
    <definedName name="MSe" localSheetId="15">'#5-439'!$AA$124</definedName>
    <definedName name="MSe" localSheetId="9">'#6-32D'!$AA$124</definedName>
    <definedName name="MSe" localSheetId="16">'#6-439'!$AA$124</definedName>
    <definedName name="MSe">'#1-32D'!$AA$124</definedName>
    <definedName name="MSf" localSheetId="11">'#1-439'!$AA$144</definedName>
    <definedName name="MSf" localSheetId="5">'#2-32D'!$AA$144</definedName>
    <definedName name="MSf" localSheetId="12">'#2-439'!$AA$144</definedName>
    <definedName name="MSf" localSheetId="6">'#3-32D'!$AA$144</definedName>
    <definedName name="MSf" localSheetId="13">'#3-439'!$AA$144</definedName>
    <definedName name="MSf" localSheetId="7">'#4-32D'!$AA$144</definedName>
    <definedName name="MSf" localSheetId="14">'#4-439'!$AA$144</definedName>
    <definedName name="MSf" localSheetId="8">'#5-32D'!$AA$144</definedName>
    <definedName name="MSf" localSheetId="15">'#5-439'!$AA$144</definedName>
    <definedName name="MSf" localSheetId="9">'#6-32D'!$AA$144</definedName>
    <definedName name="MSf" localSheetId="16">'#6-439'!$AA$144</definedName>
    <definedName name="MSf">'#1-32D'!$AA$144</definedName>
    <definedName name="MSg" localSheetId="11">'#1-439'!$AA$164</definedName>
    <definedName name="MSg" localSheetId="5">'#2-32D'!$AA$164</definedName>
    <definedName name="MSg" localSheetId="12">'#2-439'!$AA$164</definedName>
    <definedName name="MSg" localSheetId="6">'#3-32D'!$AA$164</definedName>
    <definedName name="MSg" localSheetId="13">'#3-439'!$AA$164</definedName>
    <definedName name="MSg" localSheetId="7">'#4-32D'!$AA$164</definedName>
    <definedName name="MSg" localSheetId="14">'#4-439'!$AA$164</definedName>
    <definedName name="MSg" localSheetId="8">'#5-32D'!$AA$164</definedName>
    <definedName name="MSg" localSheetId="15">'#5-439'!$AA$164</definedName>
    <definedName name="MSg" localSheetId="9">'#6-32D'!$AA$164</definedName>
    <definedName name="MSg" localSheetId="16">'#6-439'!$AA$164</definedName>
    <definedName name="MSg">'#1-32D'!$AA$164</definedName>
    <definedName name="MSh" localSheetId="11">'#1-439'!$AA$184</definedName>
    <definedName name="MSh" localSheetId="5">'#2-32D'!$AA$184</definedName>
    <definedName name="MSh" localSheetId="12">'#2-439'!$AA$184</definedName>
    <definedName name="MSh" localSheetId="6">'#3-32D'!$AA$184</definedName>
    <definedName name="MSh" localSheetId="13">'#3-439'!$AA$184</definedName>
    <definedName name="MSh" localSheetId="7">'#4-32D'!$AA$184</definedName>
    <definedName name="MSh" localSheetId="14">'#4-439'!$AA$184</definedName>
    <definedName name="MSh" localSheetId="8">'#5-32D'!$AA$184</definedName>
    <definedName name="MSh" localSheetId="15">'#5-439'!$AA$184</definedName>
    <definedName name="MSh" localSheetId="9">'#6-32D'!$AA$184</definedName>
    <definedName name="MSh" localSheetId="16">'#6-439'!$AA$184</definedName>
    <definedName name="MSh">'#1-32D'!$AA$184</definedName>
    <definedName name="Sample_statistics" localSheetId="11">'#1-439'!$B$3</definedName>
    <definedName name="Sample_statistics" localSheetId="5">'#2-32D'!$B$3</definedName>
    <definedName name="Sample_statistics" localSheetId="12">'#2-439'!$B$3</definedName>
    <definedName name="Sample_statistics" localSheetId="6">'#3-32D'!$B$3</definedName>
    <definedName name="Sample_statistics" localSheetId="13">'#3-439'!$B$3</definedName>
    <definedName name="Sample_statistics" localSheetId="7">'#4-32D'!$B$3</definedName>
    <definedName name="Sample_statistics" localSheetId="14">'#4-439'!$B$3</definedName>
    <definedName name="Sample_statistics" localSheetId="8">'#5-32D'!$B$3</definedName>
    <definedName name="Sample_statistics" localSheetId="15">'#5-439'!$B$3</definedName>
    <definedName name="Sample_statistics" localSheetId="9">'#6-32D'!$B$3</definedName>
    <definedName name="Sample_statistics" localSheetId="16">'#6-439'!$B$3</definedName>
    <definedName name="Sample_statistics" localSheetId="3">'Cohort-32D'!$B$3</definedName>
    <definedName name="Sample_statistics" localSheetId="10">'Cohort-439'!$B$3</definedName>
    <definedName name="Sample_statistics">'#1-32D'!$B$3</definedName>
    <definedName name="Subs_a" localSheetId="11">'#1-439'!$B$60</definedName>
    <definedName name="Subs_a" localSheetId="5">'#2-32D'!$B$60</definedName>
    <definedName name="Subs_a" localSheetId="12">'#2-439'!$B$60</definedName>
    <definedName name="Subs_a" localSheetId="6">'#3-32D'!$B$60</definedName>
    <definedName name="Subs_a" localSheetId="13">'#3-439'!$B$60</definedName>
    <definedName name="Subs_a" localSheetId="7">'#4-32D'!$B$60</definedName>
    <definedName name="Subs_a" localSheetId="14">'#4-439'!$B$60</definedName>
    <definedName name="Subs_a" localSheetId="8">'#5-32D'!$B$60</definedName>
    <definedName name="Subs_a" localSheetId="15">'#5-439'!$B$60</definedName>
    <definedName name="Subs_a" localSheetId="9">'#6-32D'!$B$60</definedName>
    <definedName name="Subs_a" localSheetId="16">'#6-439'!$B$60</definedName>
    <definedName name="Subs_a">'#1-32D'!$B$60</definedName>
    <definedName name="Subs_b" localSheetId="11">'#1-439'!$B$80</definedName>
    <definedName name="Subs_b" localSheetId="5">'#2-32D'!$B$80</definedName>
    <definedName name="Subs_b" localSheetId="12">'#2-439'!$B$80</definedName>
    <definedName name="Subs_b" localSheetId="6">'#3-32D'!$B$80</definedName>
    <definedName name="Subs_b" localSheetId="13">'#3-439'!$B$80</definedName>
    <definedName name="Subs_b" localSheetId="7">'#4-32D'!$B$80</definedName>
    <definedName name="Subs_b" localSheetId="14">'#4-439'!$B$80</definedName>
    <definedName name="Subs_b" localSheetId="8">'#5-32D'!$B$80</definedName>
    <definedName name="Subs_b" localSheetId="15">'#5-439'!$B$80</definedName>
    <definedName name="Subs_b" localSheetId="9">'#6-32D'!$B$80</definedName>
    <definedName name="Subs_b" localSheetId="16">'#6-439'!$B$80</definedName>
    <definedName name="Subs_b">'#1-32D'!$B$80</definedName>
    <definedName name="Subs_c" localSheetId="11">'#1-439'!$B$100</definedName>
    <definedName name="Subs_c" localSheetId="5">'#2-32D'!$B$100</definedName>
    <definedName name="Subs_c" localSheetId="12">'#2-439'!$B$100</definedName>
    <definedName name="Subs_c" localSheetId="6">'#3-32D'!$B$100</definedName>
    <definedName name="Subs_c" localSheetId="13">'#3-439'!$B$100</definedName>
    <definedName name="Subs_c" localSheetId="7">'#4-32D'!$B$100</definedName>
    <definedName name="Subs_c" localSheetId="14">'#4-439'!$B$100</definedName>
    <definedName name="Subs_c" localSheetId="8">'#5-32D'!$B$100</definedName>
    <definedName name="Subs_c" localSheetId="15">'#5-439'!$B$100</definedName>
    <definedName name="Subs_c" localSheetId="9">'#6-32D'!$B$100</definedName>
    <definedName name="Subs_c" localSheetId="16">'#6-439'!$B$100</definedName>
    <definedName name="Subs_c">'#1-32D'!$B$100</definedName>
    <definedName name="Subs_d" localSheetId="11">'#1-439'!$B$120</definedName>
    <definedName name="Subs_d" localSheetId="5">'#2-32D'!$B$120</definedName>
    <definedName name="Subs_d" localSheetId="12">'#2-439'!$B$120</definedName>
    <definedName name="Subs_d" localSheetId="6">'#3-32D'!$B$120</definedName>
    <definedName name="Subs_d" localSheetId="13">'#3-439'!$B$120</definedName>
    <definedName name="Subs_d" localSheetId="7">'#4-32D'!$B$120</definedName>
    <definedName name="Subs_d" localSheetId="14">'#4-439'!$B$120</definedName>
    <definedName name="Subs_d" localSheetId="8">'#5-32D'!$B$120</definedName>
    <definedName name="Subs_d" localSheetId="15">'#5-439'!$B$120</definedName>
    <definedName name="Subs_d" localSheetId="9">'#6-32D'!$B$120</definedName>
    <definedName name="Subs_d" localSheetId="16">'#6-439'!$B$120</definedName>
    <definedName name="Subs_d">'#1-32D'!$B$120</definedName>
    <definedName name="Subs_e" localSheetId="11">'#1-439'!$B$140</definedName>
    <definedName name="Subs_e" localSheetId="5">'#2-32D'!$B$140</definedName>
    <definedName name="Subs_e" localSheetId="12">'#2-439'!$B$140</definedName>
    <definedName name="Subs_e" localSheetId="6">'#3-32D'!$B$140</definedName>
    <definedName name="Subs_e" localSheetId="13">'#3-439'!$B$140</definedName>
    <definedName name="Subs_e" localSheetId="7">'#4-32D'!$B$140</definedName>
    <definedName name="Subs_e" localSheetId="14">'#4-439'!$B$140</definedName>
    <definedName name="Subs_e" localSheetId="8">'#5-32D'!$B$140</definedName>
    <definedName name="Subs_e" localSheetId="15">'#5-439'!$B$140</definedName>
    <definedName name="Subs_e" localSheetId="9">'#6-32D'!$B$140</definedName>
    <definedName name="Subs_e" localSheetId="16">'#6-439'!$B$140</definedName>
    <definedName name="Subs_e">'#1-32D'!$B$140</definedName>
    <definedName name="Subs_f" localSheetId="11">'#1-439'!$B$160</definedName>
    <definedName name="Subs_f" localSheetId="5">'#2-32D'!$B$160</definedName>
    <definedName name="Subs_f" localSheetId="12">'#2-439'!$B$160</definedName>
    <definedName name="Subs_f" localSheetId="6">'#3-32D'!$B$160</definedName>
    <definedName name="Subs_f" localSheetId="13">'#3-439'!$B$160</definedName>
    <definedName name="Subs_f" localSheetId="7">'#4-32D'!$B$160</definedName>
    <definedName name="Subs_f" localSheetId="14">'#4-439'!$B$160</definedName>
    <definedName name="Subs_f" localSheetId="8">'#5-32D'!$B$160</definedName>
    <definedName name="Subs_f" localSheetId="15">'#5-439'!$B$160</definedName>
    <definedName name="Subs_f" localSheetId="9">'#6-32D'!$B$160</definedName>
    <definedName name="Subs_f" localSheetId="16">'#6-439'!$B$160</definedName>
    <definedName name="Subs_f">'#1-32D'!$B$160</definedName>
    <definedName name="Subs_g" localSheetId="11">'#1-439'!$B$180</definedName>
    <definedName name="Subs_g" localSheetId="5">'#2-32D'!$B$180</definedName>
    <definedName name="Subs_g" localSheetId="12">'#2-439'!$B$180</definedName>
    <definedName name="Subs_g" localSheetId="6">'#3-32D'!$B$180</definedName>
    <definedName name="Subs_g" localSheetId="13">'#3-439'!$B$180</definedName>
    <definedName name="Subs_g" localSheetId="7">'#4-32D'!$B$180</definedName>
    <definedName name="Subs_g" localSheetId="14">'#4-439'!$B$180</definedName>
    <definedName name="Subs_g" localSheetId="8">'#5-32D'!$B$180</definedName>
    <definedName name="Subs_g" localSheetId="15">'#5-439'!$B$180</definedName>
    <definedName name="Subs_g" localSheetId="9">'#6-32D'!$B$180</definedName>
    <definedName name="Subs_g" localSheetId="16">'#6-439'!$B$180</definedName>
    <definedName name="Subs_g">'#1-32D'!$B$180</definedName>
    <definedName name="Subs_h" localSheetId="11">'#1-439'!$B$200</definedName>
    <definedName name="Subs_h" localSheetId="5">'#2-32D'!$B$200</definedName>
    <definedName name="Subs_h" localSheetId="12">'#2-439'!$B$200</definedName>
    <definedName name="Subs_h" localSheetId="6">'#3-32D'!$B$200</definedName>
    <definedName name="Subs_h" localSheetId="13">'#3-439'!$B$200</definedName>
    <definedName name="Subs_h" localSheetId="7">'#4-32D'!$B$200</definedName>
    <definedName name="Subs_h" localSheetId="14">'#4-439'!$B$200</definedName>
    <definedName name="Subs_h" localSheetId="8">'#5-32D'!$B$200</definedName>
    <definedName name="Subs_h" localSheetId="15">'#5-439'!$B$200</definedName>
    <definedName name="Subs_h" localSheetId="9">'#6-32D'!$B$200</definedName>
    <definedName name="Subs_h" localSheetId="16">'#6-439'!$B$200</definedName>
    <definedName name="Subs_h">'#1-32D'!$B$200</definedName>
    <definedName name="Tables_Sample_statistics" localSheetId="11">'#1-439'!#REF!</definedName>
    <definedName name="Tables_Sample_statistics" localSheetId="5">'#2-32D'!#REF!</definedName>
    <definedName name="Tables_Sample_statistics" localSheetId="12">'#2-439'!#REF!</definedName>
    <definedName name="Tables_Sample_statistics" localSheetId="6">'#3-32D'!#REF!</definedName>
    <definedName name="Tables_Sample_statistics" localSheetId="13">'#3-439'!#REF!</definedName>
    <definedName name="Tables_Sample_statistics" localSheetId="7">'#4-32D'!#REF!</definedName>
    <definedName name="Tables_Sample_statistics" localSheetId="14">'#4-439'!#REF!</definedName>
    <definedName name="Tables_Sample_statistics" localSheetId="8">'#5-32D'!#REF!</definedName>
    <definedName name="Tables_Sample_statistics" localSheetId="15">'#5-439'!#REF!</definedName>
    <definedName name="Tables_Sample_statistics" localSheetId="9">'#6-32D'!#REF!</definedName>
    <definedName name="Tables_Sample_statistics" localSheetId="16">'#6-439'!#REF!</definedName>
    <definedName name="Tables_Sample_statistics" localSheetId="3">'Cohort-32D'!$AO$33</definedName>
    <definedName name="Tables_Sample_statistics" localSheetId="10">'Cohort-439'!$AO$33</definedName>
    <definedName name="Tables_Sample_statistics">'#1-32D'!#REF!</definedName>
  </definedNames>
  <calcPr calcId="125725"/>
</workbook>
</file>

<file path=xl/calcChain.xml><?xml version="1.0" encoding="utf-8"?>
<calcChain xmlns="http://schemas.openxmlformats.org/spreadsheetml/2006/main">
  <c r="BF8" i="61"/>
  <c r="BF7"/>
  <c r="B7" s="1"/>
  <c r="BF6"/>
  <c r="BF5"/>
  <c r="B5" s="1"/>
  <c r="BF4"/>
  <c r="BF3"/>
  <c r="B3" s="1"/>
  <c r="B20"/>
  <c r="B19"/>
  <c r="B18"/>
  <c r="B17"/>
  <c r="B16"/>
  <c r="B15"/>
  <c r="B14"/>
  <c r="B13"/>
  <c r="B12"/>
  <c r="B11"/>
  <c r="B10"/>
  <c r="B9"/>
  <c r="B8"/>
  <c r="B6"/>
  <c r="B4"/>
  <c r="B4" i="49"/>
  <c r="BF8" l="1"/>
  <c r="BF7"/>
  <c r="BF6"/>
  <c r="BF5"/>
  <c r="BF4"/>
  <c r="BG8" i="61" l="1"/>
  <c r="BG7"/>
  <c r="BG6"/>
  <c r="BG5"/>
  <c r="BG4"/>
  <c r="BG3"/>
  <c r="BI8"/>
  <c r="BI7"/>
  <c r="BI6"/>
  <c r="BI5"/>
  <c r="BI4"/>
  <c r="BI3"/>
  <c r="BH8"/>
  <c r="BH7"/>
  <c r="BH6"/>
  <c r="BH5"/>
  <c r="BH4"/>
  <c r="BH3"/>
  <c r="BH9"/>
  <c r="BI8" i="49"/>
  <c r="BI7"/>
  <c r="BI6"/>
  <c r="BI5"/>
  <c r="BI4"/>
  <c r="BH8"/>
  <c r="BH7"/>
  <c r="BH6"/>
  <c r="BH5"/>
  <c r="BH4"/>
  <c r="BH3"/>
  <c r="B5"/>
  <c r="B6"/>
  <c r="B7"/>
  <c r="B8"/>
  <c r="CY8" i="61"/>
  <c r="CY7"/>
  <c r="CY6"/>
  <c r="CY5"/>
  <c r="CY4"/>
  <c r="CY3"/>
  <c r="CX8"/>
  <c r="CW8"/>
  <c r="CV8"/>
  <c r="CU8"/>
  <c r="CX7"/>
  <c r="CW7"/>
  <c r="CV7"/>
  <c r="CU7"/>
  <c r="CX6"/>
  <c r="CW6"/>
  <c r="CV6"/>
  <c r="CU6"/>
  <c r="CX5"/>
  <c r="CW5"/>
  <c r="CV5"/>
  <c r="CU5"/>
  <c r="CX4"/>
  <c r="CW4"/>
  <c r="CV4"/>
  <c r="CU4"/>
  <c r="CX3"/>
  <c r="CW3"/>
  <c r="CV3"/>
  <c r="CU3"/>
  <c r="CR8"/>
  <c r="CR7"/>
  <c r="CR6"/>
  <c r="CR5"/>
  <c r="CR4"/>
  <c r="CR3"/>
  <c r="CQ8"/>
  <c r="CP8"/>
  <c r="CO8"/>
  <c r="CN8"/>
  <c r="CQ7"/>
  <c r="CP7"/>
  <c r="CO7"/>
  <c r="CN7"/>
  <c r="CQ6"/>
  <c r="CP6"/>
  <c r="CO6"/>
  <c r="CN6"/>
  <c r="CQ5"/>
  <c r="CP5"/>
  <c r="CO5"/>
  <c r="CN5"/>
  <c r="CQ4"/>
  <c r="CP4"/>
  <c r="CO4"/>
  <c r="CN4"/>
  <c r="CQ3"/>
  <c r="CP3"/>
  <c r="CO3"/>
  <c r="CN3"/>
  <c r="CK8"/>
  <c r="CK7"/>
  <c r="CK6"/>
  <c r="CK5"/>
  <c r="CK4"/>
  <c r="CK3"/>
  <c r="CD8"/>
  <c r="CD7"/>
  <c r="CD6"/>
  <c r="CD5"/>
  <c r="CD4"/>
  <c r="CD3"/>
  <c r="CJ8"/>
  <c r="CI8"/>
  <c r="CH8"/>
  <c r="CG8"/>
  <c r="CJ7"/>
  <c r="CI7"/>
  <c r="CH7"/>
  <c r="CG7"/>
  <c r="CJ6"/>
  <c r="CI6"/>
  <c r="CH6"/>
  <c r="CG6"/>
  <c r="CJ5"/>
  <c r="CI5"/>
  <c r="CH5"/>
  <c r="CG5"/>
  <c r="CJ4"/>
  <c r="CI4"/>
  <c r="CH4"/>
  <c r="CG4"/>
  <c r="CJ3"/>
  <c r="CI3"/>
  <c r="CH3"/>
  <c r="CG3"/>
  <c r="CC8"/>
  <c r="CB8"/>
  <c r="CA8"/>
  <c r="BZ8"/>
  <c r="CC7"/>
  <c r="CB7"/>
  <c r="CA7"/>
  <c r="BZ7"/>
  <c r="CC6"/>
  <c r="CB6"/>
  <c r="CA6"/>
  <c r="BZ6"/>
  <c r="CC5"/>
  <c r="CB5"/>
  <c r="CA5"/>
  <c r="BZ5"/>
  <c r="CC4"/>
  <c r="CB4"/>
  <c r="CA4"/>
  <c r="BZ4"/>
  <c r="CC3"/>
  <c r="CB3"/>
  <c r="CA3"/>
  <c r="BZ3"/>
  <c r="BW8"/>
  <c r="BW7"/>
  <c r="BW6"/>
  <c r="BW5"/>
  <c r="BW4"/>
  <c r="BW3"/>
  <c r="BV8"/>
  <c r="BU8"/>
  <c r="BT8"/>
  <c r="BS8"/>
  <c r="BV7"/>
  <c r="BU7"/>
  <c r="BT7"/>
  <c r="BS7"/>
  <c r="BV6"/>
  <c r="BU6"/>
  <c r="BT6"/>
  <c r="BS6"/>
  <c r="BV5"/>
  <c r="BU5"/>
  <c r="BT5"/>
  <c r="BS5"/>
  <c r="BV4"/>
  <c r="BU4"/>
  <c r="BT4"/>
  <c r="BS4"/>
  <c r="BT3"/>
  <c r="BU3"/>
  <c r="BV3"/>
  <c r="BS3"/>
  <c r="BP8"/>
  <c r="BP7"/>
  <c r="BP6"/>
  <c r="BP5"/>
  <c r="BP4"/>
  <c r="BO8"/>
  <c r="BN8"/>
  <c r="BM8"/>
  <c r="BL8"/>
  <c r="BO7"/>
  <c r="BN7"/>
  <c r="BM7"/>
  <c r="BL7"/>
  <c r="BO6"/>
  <c r="BN6"/>
  <c r="BM6"/>
  <c r="BL6"/>
  <c r="BO5"/>
  <c r="BN5"/>
  <c r="BM5"/>
  <c r="BL5"/>
  <c r="BO4"/>
  <c r="BN4"/>
  <c r="BM4"/>
  <c r="BL4"/>
  <c r="BO3"/>
  <c r="BN3"/>
  <c r="BM3"/>
  <c r="BL3"/>
  <c r="BB8"/>
  <c r="BA8"/>
  <c r="AZ8"/>
  <c r="AY8"/>
  <c r="BB7"/>
  <c r="BA7"/>
  <c r="AZ7"/>
  <c r="AY7"/>
  <c r="BB6"/>
  <c r="BA6"/>
  <c r="AZ6"/>
  <c r="AY6"/>
  <c r="BB5"/>
  <c r="BA5"/>
  <c r="AZ5"/>
  <c r="AY5"/>
  <c r="BB4"/>
  <c r="BA4"/>
  <c r="AZ4"/>
  <c r="AY4"/>
  <c r="AT5"/>
  <c r="AU5"/>
  <c r="AV5"/>
  <c r="AT6"/>
  <c r="AU6"/>
  <c r="AV6"/>
  <c r="AT7"/>
  <c r="AU7"/>
  <c r="AV7"/>
  <c r="AT8"/>
  <c r="AU8"/>
  <c r="AV8"/>
  <c r="AS8"/>
  <c r="AS7"/>
  <c r="AS6"/>
  <c r="AS5"/>
  <c r="AT4"/>
  <c r="AU4"/>
  <c r="AV4"/>
  <c r="AS4"/>
  <c r="AT3"/>
  <c r="AU3"/>
  <c r="AV3"/>
  <c r="AS3"/>
  <c r="AP8"/>
  <c r="AP7"/>
  <c r="E7" s="1"/>
  <c r="AP6"/>
  <c r="E6" s="1"/>
  <c r="AP5"/>
  <c r="E5" s="1"/>
  <c r="AP4"/>
  <c r="AP3"/>
  <c r="E8"/>
  <c r="E4"/>
  <c r="D8" i="49"/>
  <c r="D7"/>
  <c r="D6"/>
  <c r="D5"/>
  <c r="D4"/>
  <c r="D3"/>
  <c r="BZ39"/>
  <c r="BZ39" a="1"/>
  <c r="BZ38"/>
  <c r="BZ37"/>
  <c r="BZ35"/>
  <c r="BZ35" a="1"/>
  <c r="BZ34" a="1"/>
  <c r="BZ34" s="1"/>
  <c r="BZ36" s="1"/>
  <c r="CU39"/>
  <c r="CU39" a="1"/>
  <c r="CU38"/>
  <c r="CU37"/>
  <c r="CU35"/>
  <c r="CU35" a="1"/>
  <c r="CU34" a="1"/>
  <c r="CU34" s="1"/>
  <c r="CU36" s="1"/>
  <c r="CY8"/>
  <c r="CY7"/>
  <c r="CY6"/>
  <c r="CY5"/>
  <c r="CY4"/>
  <c r="CX8"/>
  <c r="CW8"/>
  <c r="CV8"/>
  <c r="CU8"/>
  <c r="CX7"/>
  <c r="CW7"/>
  <c r="CV7"/>
  <c r="CU7"/>
  <c r="CX6"/>
  <c r="CW6"/>
  <c r="CV6"/>
  <c r="CU6"/>
  <c r="CX5"/>
  <c r="CW5"/>
  <c r="CV5"/>
  <c r="CU5"/>
  <c r="CX4"/>
  <c r="CW4"/>
  <c r="CV4"/>
  <c r="CU4"/>
  <c r="CR8"/>
  <c r="CR7"/>
  <c r="CR6"/>
  <c r="CR5"/>
  <c r="CR4"/>
  <c r="CR3"/>
  <c r="CQ8"/>
  <c r="CP8"/>
  <c r="CO8"/>
  <c r="CN8"/>
  <c r="CQ7"/>
  <c r="CP7"/>
  <c r="CO7"/>
  <c r="CN7"/>
  <c r="CQ6"/>
  <c r="CP6"/>
  <c r="CO6"/>
  <c r="CN6"/>
  <c r="CQ5"/>
  <c r="CP5"/>
  <c r="CO5"/>
  <c r="CN5"/>
  <c r="CQ4"/>
  <c r="CP4"/>
  <c r="CO4"/>
  <c r="CN4"/>
  <c r="CK8"/>
  <c r="CK7"/>
  <c r="CK6"/>
  <c r="CK5"/>
  <c r="CK4"/>
  <c r="CJ8"/>
  <c r="CI8"/>
  <c r="CH8"/>
  <c r="CG8"/>
  <c r="CJ7"/>
  <c r="CI7"/>
  <c r="CH7"/>
  <c r="CG7"/>
  <c r="CJ6"/>
  <c r="CI6"/>
  <c r="CH6"/>
  <c r="CG6"/>
  <c r="CJ5"/>
  <c r="CI5"/>
  <c r="CH5"/>
  <c r="CG5"/>
  <c r="CJ4"/>
  <c r="CI4"/>
  <c r="CH4"/>
  <c r="CG4"/>
  <c r="CD8"/>
  <c r="CD7"/>
  <c r="CD6"/>
  <c r="CD5"/>
  <c r="CD4"/>
  <c r="CC8"/>
  <c r="CB8"/>
  <c r="CA8"/>
  <c r="BZ8"/>
  <c r="CC7"/>
  <c r="CB7"/>
  <c r="CA7"/>
  <c r="BZ7"/>
  <c r="CC6"/>
  <c r="CB6"/>
  <c r="CA6"/>
  <c r="BZ6"/>
  <c r="CC5"/>
  <c r="CB5"/>
  <c r="CA5"/>
  <c r="BZ5"/>
  <c r="CC4"/>
  <c r="CB4"/>
  <c r="CA4"/>
  <c r="BZ4"/>
  <c r="BW8"/>
  <c r="BW7"/>
  <c r="BW6"/>
  <c r="BW5"/>
  <c r="BW4"/>
  <c r="BV8"/>
  <c r="BU8"/>
  <c r="BT8"/>
  <c r="BS8"/>
  <c r="BV7"/>
  <c r="BU7"/>
  <c r="BT7"/>
  <c r="BS7"/>
  <c r="BV6"/>
  <c r="BU6"/>
  <c r="BT6"/>
  <c r="BS6"/>
  <c r="BV5"/>
  <c r="BU5"/>
  <c r="BT5"/>
  <c r="BS5"/>
  <c r="BV4"/>
  <c r="BU4"/>
  <c r="BT4"/>
  <c r="BS4"/>
  <c r="BP8"/>
  <c r="BP7"/>
  <c r="BP6"/>
  <c r="BP5"/>
  <c r="BP4"/>
  <c r="BG8"/>
  <c r="BG7"/>
  <c r="BG6"/>
  <c r="BG5"/>
  <c r="BG4"/>
  <c r="BO8"/>
  <c r="BN8"/>
  <c r="BM8"/>
  <c r="BL8"/>
  <c r="BO7"/>
  <c r="BN7"/>
  <c r="BM7"/>
  <c r="BL7"/>
  <c r="BO6"/>
  <c r="BN6"/>
  <c r="BM6"/>
  <c r="BL6"/>
  <c r="BO5"/>
  <c r="BN5"/>
  <c r="BM5"/>
  <c r="BL5"/>
  <c r="BO4"/>
  <c r="BN4"/>
  <c r="BM4"/>
  <c r="BL4"/>
  <c r="BB8"/>
  <c r="BA8"/>
  <c r="AZ8"/>
  <c r="AY8"/>
  <c r="BB7"/>
  <c r="BA7"/>
  <c r="AZ7"/>
  <c r="AY7"/>
  <c r="BB6"/>
  <c r="BA6"/>
  <c r="AZ6"/>
  <c r="AY6"/>
  <c r="BB5"/>
  <c r="BA5"/>
  <c r="AZ5"/>
  <c r="AY5"/>
  <c r="BB4"/>
  <c r="BA4"/>
  <c r="AZ4"/>
  <c r="AY4"/>
  <c r="AT4"/>
  <c r="AU4"/>
  <c r="AV4"/>
  <c r="AT5"/>
  <c r="AU5"/>
  <c r="AV5"/>
  <c r="AT6"/>
  <c r="AU6"/>
  <c r="AV6"/>
  <c r="AT7"/>
  <c r="AU7"/>
  <c r="AV7"/>
  <c r="AT8"/>
  <c r="AU8"/>
  <c r="AV8"/>
  <c r="AS8"/>
  <c r="AS7"/>
  <c r="AS6"/>
  <c r="AS5"/>
  <c r="AS4"/>
  <c r="AP8"/>
  <c r="AP7"/>
  <c r="AP6"/>
  <c r="AP5"/>
  <c r="AP4"/>
  <c r="I48" i="45" l="1"/>
  <c r="I39"/>
  <c r="I30"/>
  <c r="I21"/>
  <c r="I12"/>
  <c r="I3"/>
  <c r="A48"/>
  <c r="A39"/>
  <c r="A30"/>
  <c r="A21"/>
  <c r="A12"/>
  <c r="M13"/>
  <c r="M12"/>
  <c r="M3"/>
  <c r="E21"/>
  <c r="E4"/>
  <c r="E3"/>
  <c r="E62" i="40"/>
  <c r="E5" s="1"/>
  <c r="E4"/>
  <c r="AM62" i="66"/>
  <c r="AL62"/>
  <c r="AK62"/>
  <c r="AJ62"/>
  <c r="AM42"/>
  <c r="AL42"/>
  <c r="AK42"/>
  <c r="AJ42"/>
  <c r="AM62" i="65"/>
  <c r="AL62"/>
  <c r="AK62"/>
  <c r="AJ62"/>
  <c r="AM42"/>
  <c r="AL42"/>
  <c r="AK42"/>
  <c r="AJ42"/>
  <c r="AM82" i="64"/>
  <c r="AL82"/>
  <c r="AK82"/>
  <c r="AJ82"/>
  <c r="AM62"/>
  <c r="AL62"/>
  <c r="AK62"/>
  <c r="AJ62"/>
  <c r="AM42"/>
  <c r="AL42"/>
  <c r="AK42"/>
  <c r="AJ42"/>
  <c r="AM62" i="63"/>
  <c r="AL62"/>
  <c r="AK62"/>
  <c r="AJ62"/>
  <c r="AM42"/>
  <c r="AL42"/>
  <c r="AK42"/>
  <c r="AJ42"/>
  <c r="AM62" i="60"/>
  <c r="AL62"/>
  <c r="AK62"/>
  <c r="AJ62"/>
  <c r="AM42"/>
  <c r="AL42"/>
  <c r="AK42"/>
  <c r="AJ42"/>
  <c r="AM62" i="62"/>
  <c r="AL62"/>
  <c r="AK62"/>
  <c r="AJ62"/>
  <c r="AM42"/>
  <c r="AL42"/>
  <c r="AK42"/>
  <c r="AJ42"/>
  <c r="AM62" i="59"/>
  <c r="AL62"/>
  <c r="AK62"/>
  <c r="AJ62"/>
  <c r="AM42"/>
  <c r="AL42"/>
  <c r="AK42"/>
  <c r="AJ42"/>
  <c r="AM62" i="58"/>
  <c r="AL62"/>
  <c r="AK62"/>
  <c r="AJ62"/>
  <c r="AM42"/>
  <c r="AL42"/>
  <c r="AK42"/>
  <c r="AJ42"/>
  <c r="AM62" i="57"/>
  <c r="AL62"/>
  <c r="AK62"/>
  <c r="AJ62"/>
  <c r="AM42"/>
  <c r="AL42"/>
  <c r="AK42"/>
  <c r="AJ42"/>
  <c r="AM62" i="56"/>
  <c r="AL62"/>
  <c r="AK62"/>
  <c r="AJ62"/>
  <c r="AK42"/>
  <c r="AL42"/>
  <c r="AM42"/>
  <c r="AM62" i="55"/>
  <c r="AL62"/>
  <c r="AK62"/>
  <c r="AJ62"/>
  <c r="AK42"/>
  <c r="AL42"/>
  <c r="AM42"/>
  <c r="D3" i="61" l="1"/>
  <c r="CE200" i="66" l="1"/>
  <c r="AH200"/>
  <c r="B200"/>
  <c r="CS200" s="1"/>
  <c r="AV198"/>
  <c r="BO198" s="1"/>
  <c r="AT198"/>
  <c r="BM198" s="1"/>
  <c r="AS198"/>
  <c r="BL198" s="1"/>
  <c r="CA198" s="1"/>
  <c r="CJ191"/>
  <c r="CF191"/>
  <c r="CE191"/>
  <c r="CC191"/>
  <c r="BW191"/>
  <c r="BV191"/>
  <c r="BP191"/>
  <c r="BO191"/>
  <c r="BL191"/>
  <c r="BK191"/>
  <c r="BJ191"/>
  <c r="BI191"/>
  <c r="BG191"/>
  <c r="BD191"/>
  <c r="BB191"/>
  <c r="BA191"/>
  <c r="AZ191"/>
  <c r="AY191"/>
  <c r="AX191"/>
  <c r="AW191"/>
  <c r="AV191"/>
  <c r="AU191"/>
  <c r="BN191" s="1"/>
  <c r="AT191"/>
  <c r="BM191" s="1"/>
  <c r="AS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U190"/>
  <c r="BR190"/>
  <c r="BQ190"/>
  <c r="BM190"/>
  <c r="BK190"/>
  <c r="BJ190"/>
  <c r="BB190"/>
  <c r="BA190"/>
  <c r="AZ190"/>
  <c r="AY190"/>
  <c r="AX190"/>
  <c r="AW190"/>
  <c r="AR189"/>
  <c r="G184"/>
  <c r="E184"/>
  <c r="B184"/>
  <c r="AC183"/>
  <c r="G183"/>
  <c r="E183"/>
  <c r="AL183" s="1"/>
  <c r="B183"/>
  <c r="BF191" s="1"/>
  <c r="BF10" s="1"/>
  <c r="AM182"/>
  <c r="AL182"/>
  <c r="AK182"/>
  <c r="AJ182"/>
  <c r="G182"/>
  <c r="E182"/>
  <c r="D182"/>
  <c r="BE191" s="1"/>
  <c r="BE10" s="1"/>
  <c r="C182"/>
  <c r="A182"/>
  <c r="AM181"/>
  <c r="AL181"/>
  <c r="AK181"/>
  <c r="AJ181"/>
  <c r="G181"/>
  <c r="B181"/>
  <c r="CL180"/>
  <c r="CE180"/>
  <c r="BJ180"/>
  <c r="AQ180"/>
  <c r="AH180"/>
  <c r="B180"/>
  <c r="CS180" s="1"/>
  <c r="BO178"/>
  <c r="AV178"/>
  <c r="AT178"/>
  <c r="BM178" s="1"/>
  <c r="AS178"/>
  <c r="BL178" s="1"/>
  <c r="CA178" s="1"/>
  <c r="CJ171"/>
  <c r="CQ171" s="1"/>
  <c r="CQ9" s="1"/>
  <c r="CF171"/>
  <c r="CE171"/>
  <c r="CC171"/>
  <c r="BW171"/>
  <c r="BV171"/>
  <c r="BV9" s="1"/>
  <c r="BO171"/>
  <c r="BL171"/>
  <c r="BS171" s="1"/>
  <c r="BS9" s="1"/>
  <c r="BK171"/>
  <c r="BJ171"/>
  <c r="BI171"/>
  <c r="BI9" s="1"/>
  <c r="BD171"/>
  <c r="BB171"/>
  <c r="BA171"/>
  <c r="AZ171"/>
  <c r="AY171"/>
  <c r="AX171"/>
  <c r="AW171"/>
  <c r="AV171"/>
  <c r="AU171"/>
  <c r="BN171" s="1"/>
  <c r="AT171"/>
  <c r="BM171" s="1"/>
  <c r="AS171"/>
  <c r="CX170"/>
  <c r="CW170"/>
  <c r="CV170"/>
  <c r="CU170"/>
  <c r="CT170"/>
  <c r="CS170"/>
  <c r="CO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AR169"/>
  <c r="G164"/>
  <c r="E164"/>
  <c r="E163" s="1"/>
  <c r="B164"/>
  <c r="AC163"/>
  <c r="G163"/>
  <c r="B163"/>
  <c r="BF171" s="1"/>
  <c r="AM162"/>
  <c r="AL162"/>
  <c r="AK162"/>
  <c r="AJ162"/>
  <c r="G162"/>
  <c r="E162"/>
  <c r="BP171" s="1"/>
  <c r="D162"/>
  <c r="BE171" s="1"/>
  <c r="C162"/>
  <c r="A162"/>
  <c r="AM161"/>
  <c r="AL161"/>
  <c r="AK161"/>
  <c r="AJ161"/>
  <c r="G161"/>
  <c r="B161"/>
  <c r="CL160"/>
  <c r="CE160"/>
  <c r="BJ160"/>
  <c r="AQ160"/>
  <c r="AH160"/>
  <c r="B160"/>
  <c r="CS160" s="1"/>
  <c r="AV158"/>
  <c r="BO158" s="1"/>
  <c r="AT158"/>
  <c r="BM158" s="1"/>
  <c r="AS158"/>
  <c r="BL158" s="1"/>
  <c r="CA158" s="1"/>
  <c r="CJ151"/>
  <c r="CF151"/>
  <c r="CE151"/>
  <c r="CC151"/>
  <c r="CC8" s="1"/>
  <c r="BW151"/>
  <c r="BV151"/>
  <c r="BS151"/>
  <c r="BS8" s="1"/>
  <c r="BP151"/>
  <c r="BO151"/>
  <c r="BL151"/>
  <c r="BK151"/>
  <c r="BJ151"/>
  <c r="BI151"/>
  <c r="BG151"/>
  <c r="BD151"/>
  <c r="BD8" s="1"/>
  <c r="BB151"/>
  <c r="BA151"/>
  <c r="AZ151"/>
  <c r="AY151"/>
  <c r="AY8" s="1"/>
  <c r="AX151"/>
  <c r="AW151"/>
  <c r="AV151"/>
  <c r="AU151"/>
  <c r="BN151" s="1"/>
  <c r="AT151"/>
  <c r="BM151" s="1"/>
  <c r="AS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V150"/>
  <c r="BU150"/>
  <c r="BR150"/>
  <c r="BQ150"/>
  <c r="BM150"/>
  <c r="BK150"/>
  <c r="BJ150"/>
  <c r="BB150"/>
  <c r="BA150"/>
  <c r="AZ150"/>
  <c r="AY150"/>
  <c r="AX150"/>
  <c r="AW150"/>
  <c r="AR149"/>
  <c r="G144"/>
  <c r="E144"/>
  <c r="B144"/>
  <c r="AL143"/>
  <c r="AC143"/>
  <c r="G143"/>
  <c r="E143"/>
  <c r="B143"/>
  <c r="BF151" s="1"/>
  <c r="AM142"/>
  <c r="AL142"/>
  <c r="AK142"/>
  <c r="AJ142"/>
  <c r="G142"/>
  <c r="E142"/>
  <c r="D142"/>
  <c r="BE151" s="1"/>
  <c r="C142"/>
  <c r="A142"/>
  <c r="AM141"/>
  <c r="AL141"/>
  <c r="AK141"/>
  <c r="AJ141"/>
  <c r="G141"/>
  <c r="B141"/>
  <c r="CL140"/>
  <c r="CE140"/>
  <c r="BJ140"/>
  <c r="AQ140"/>
  <c r="AH140"/>
  <c r="B140"/>
  <c r="CS140" s="1"/>
  <c r="BO138"/>
  <c r="AV138"/>
  <c r="AT138"/>
  <c r="BM138" s="1"/>
  <c r="AS138"/>
  <c r="BL138" s="1"/>
  <c r="CA138" s="1"/>
  <c r="CJ131"/>
  <c r="CQ131" s="1"/>
  <c r="CQ7" s="1"/>
  <c r="CF131"/>
  <c r="CF7" s="1"/>
  <c r="CE131"/>
  <c r="CC131"/>
  <c r="BW131"/>
  <c r="BV131"/>
  <c r="BO131"/>
  <c r="BL131"/>
  <c r="BS131" s="1"/>
  <c r="BS7" s="1"/>
  <c r="BK131"/>
  <c r="BJ131"/>
  <c r="BI131"/>
  <c r="BI7" s="1"/>
  <c r="BD131"/>
  <c r="BB131"/>
  <c r="BB7" s="1"/>
  <c r="BA131"/>
  <c r="AZ131"/>
  <c r="AY131"/>
  <c r="AX131"/>
  <c r="AX7" s="1"/>
  <c r="AW131"/>
  <c r="AV131"/>
  <c r="AU131"/>
  <c r="BN131" s="1"/>
  <c r="AT131"/>
  <c r="BM131" s="1"/>
  <c r="AS131"/>
  <c r="CX130"/>
  <c r="CW130"/>
  <c r="CV130"/>
  <c r="CU130"/>
  <c r="CT130"/>
  <c r="CS130"/>
  <c r="CO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R129"/>
  <c r="G124"/>
  <c r="E124"/>
  <c r="E123" s="1"/>
  <c r="B124"/>
  <c r="AC123"/>
  <c r="G123"/>
  <c r="B123"/>
  <c r="BF131" s="1"/>
  <c r="AM122"/>
  <c r="AL122"/>
  <c r="AK122"/>
  <c r="AJ122"/>
  <c r="G122"/>
  <c r="E122"/>
  <c r="D122"/>
  <c r="BE131" s="1"/>
  <c r="C122"/>
  <c r="A122"/>
  <c r="AM121"/>
  <c r="AL121"/>
  <c r="AK121"/>
  <c r="AJ121"/>
  <c r="G121"/>
  <c r="F8" s="1"/>
  <c r="B121"/>
  <c r="CL120"/>
  <c r="CE120"/>
  <c r="AQ120"/>
  <c r="AH120"/>
  <c r="B120"/>
  <c r="CS120" s="1"/>
  <c r="AV118"/>
  <c r="BO118" s="1"/>
  <c r="AT118"/>
  <c r="BM118" s="1"/>
  <c r="AS118"/>
  <c r="BL118" s="1"/>
  <c r="CA118" s="1"/>
  <c r="CJ111"/>
  <c r="CF111"/>
  <c r="CE111"/>
  <c r="CC111"/>
  <c r="CC6" s="1"/>
  <c r="BW111"/>
  <c r="BV111"/>
  <c r="BS111"/>
  <c r="BP111"/>
  <c r="BO111"/>
  <c r="BL111"/>
  <c r="BK111"/>
  <c r="BJ111"/>
  <c r="BI111"/>
  <c r="BG111"/>
  <c r="BD111"/>
  <c r="BD6" s="1"/>
  <c r="BB111"/>
  <c r="BA111"/>
  <c r="AZ111"/>
  <c r="AY111"/>
  <c r="AY6" s="1"/>
  <c r="AX111"/>
  <c r="AW111"/>
  <c r="AV111"/>
  <c r="AU111"/>
  <c r="BN111" s="1"/>
  <c r="AT111"/>
  <c r="BM111" s="1"/>
  <c r="AS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V110"/>
  <c r="BU110"/>
  <c r="BR110"/>
  <c r="BQ110"/>
  <c r="BM110"/>
  <c r="BK110"/>
  <c r="BJ110"/>
  <c r="BB110"/>
  <c r="BA110"/>
  <c r="AZ110"/>
  <c r="AY110"/>
  <c r="AX110"/>
  <c r="AW110"/>
  <c r="AR109"/>
  <c r="G104"/>
  <c r="E104"/>
  <c r="B104"/>
  <c r="AL103"/>
  <c r="AC103"/>
  <c r="G103"/>
  <c r="E103"/>
  <c r="B103"/>
  <c r="BF111" s="1"/>
  <c r="AM102"/>
  <c r="AL102"/>
  <c r="AK102"/>
  <c r="AJ102"/>
  <c r="G102"/>
  <c r="E102"/>
  <c r="D102"/>
  <c r="BE111" s="1"/>
  <c r="C102"/>
  <c r="A102"/>
  <c r="AM101"/>
  <c r="AL101"/>
  <c r="AK101"/>
  <c r="AJ101"/>
  <c r="G101"/>
  <c r="B101"/>
  <c r="CL100"/>
  <c r="CE100"/>
  <c r="AQ100"/>
  <c r="AH100"/>
  <c r="B100"/>
  <c r="CS100" s="1"/>
  <c r="BO98"/>
  <c r="AV98"/>
  <c r="AT98"/>
  <c r="BM98" s="1"/>
  <c r="AS98"/>
  <c r="BL98" s="1"/>
  <c r="CA98" s="1"/>
  <c r="CJ91"/>
  <c r="CQ91" s="1"/>
  <c r="CQ5" s="1"/>
  <c r="CF91"/>
  <c r="CF5" s="1"/>
  <c r="CE91"/>
  <c r="CC91"/>
  <c r="BW91"/>
  <c r="BV91"/>
  <c r="BO91"/>
  <c r="BL91"/>
  <c r="BS91" s="1"/>
  <c r="BK91"/>
  <c r="BJ91"/>
  <c r="BI91"/>
  <c r="BI5" s="1"/>
  <c r="BD91"/>
  <c r="BB91"/>
  <c r="BB5" s="1"/>
  <c r="BA91"/>
  <c r="AZ91"/>
  <c r="AY91"/>
  <c r="AX91"/>
  <c r="AX5" s="1"/>
  <c r="AW91"/>
  <c r="AV91"/>
  <c r="AU91"/>
  <c r="BN91" s="1"/>
  <c r="AT91"/>
  <c r="BM91" s="1"/>
  <c r="AS91"/>
  <c r="CX90"/>
  <c r="CW90"/>
  <c r="CV90"/>
  <c r="CU90"/>
  <c r="CT90"/>
  <c r="CS90"/>
  <c r="CO90"/>
  <c r="CM90"/>
  <c r="CL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R89"/>
  <c r="G84"/>
  <c r="E84"/>
  <c r="E83" s="1"/>
  <c r="B84"/>
  <c r="AC83"/>
  <c r="G83"/>
  <c r="B83"/>
  <c r="BF91" s="1"/>
  <c r="AM82"/>
  <c r="AL82"/>
  <c r="AK82"/>
  <c r="AJ82"/>
  <c r="G82"/>
  <c r="E82"/>
  <c r="BP91" s="1"/>
  <c r="D82"/>
  <c r="BE91" s="1"/>
  <c r="C82"/>
  <c r="A82"/>
  <c r="AM81"/>
  <c r="AL81"/>
  <c r="AK81"/>
  <c r="AJ81"/>
  <c r="G81"/>
  <c r="F6" s="1"/>
  <c r="B81"/>
  <c r="B80"/>
  <c r="CS80" s="1"/>
  <c r="AV78"/>
  <c r="BO78" s="1"/>
  <c r="AT78"/>
  <c r="BM78" s="1"/>
  <c r="AS78"/>
  <c r="BL78" s="1"/>
  <c r="CA78" s="1"/>
  <c r="CF71"/>
  <c r="CE71"/>
  <c r="BK71"/>
  <c r="BJ71"/>
  <c r="BI71"/>
  <c r="BI4" s="1"/>
  <c r="BD71"/>
  <c r="BD4" s="1"/>
  <c r="BB71"/>
  <c r="BB4" s="1"/>
  <c r="BA71"/>
  <c r="AZ71"/>
  <c r="AZ4" s="1"/>
  <c r="AY71"/>
  <c r="AY4" s="1"/>
  <c r="AX71"/>
  <c r="AX4" s="1"/>
  <c r="AW71"/>
  <c r="AW4" s="1"/>
  <c r="AT71"/>
  <c r="CX70"/>
  <c r="CW70"/>
  <c r="CV70"/>
  <c r="CU70"/>
  <c r="CT70"/>
  <c r="CS70"/>
  <c r="CM70"/>
  <c r="CL70"/>
  <c r="CF70"/>
  <c r="CE70"/>
  <c r="CC70"/>
  <c r="CB70"/>
  <c r="CA70"/>
  <c r="BZ70"/>
  <c r="BY70"/>
  <c r="BX70"/>
  <c r="BV70"/>
  <c r="BR70"/>
  <c r="BQ70"/>
  <c r="BM70"/>
  <c r="BK70"/>
  <c r="BJ70"/>
  <c r="BB70"/>
  <c r="BA70"/>
  <c r="AZ70"/>
  <c r="AY70"/>
  <c r="AX70"/>
  <c r="AW70"/>
  <c r="G64"/>
  <c r="E64"/>
  <c r="B64"/>
  <c r="AC63"/>
  <c r="G63"/>
  <c r="B63"/>
  <c r="BF71" s="1"/>
  <c r="BF4" s="1"/>
  <c r="G62"/>
  <c r="E62"/>
  <c r="CK71" s="1"/>
  <c r="D62"/>
  <c r="BE71" s="1"/>
  <c r="BE4" s="1"/>
  <c r="C62"/>
  <c r="C5" s="1"/>
  <c r="AM61"/>
  <c r="AL61"/>
  <c r="AK61"/>
  <c r="AJ61"/>
  <c r="G61"/>
  <c r="F5" s="1"/>
  <c r="B61"/>
  <c r="AH60"/>
  <c r="B60"/>
  <c r="CS60" s="1"/>
  <c r="BO58"/>
  <c r="BM58"/>
  <c r="AV58"/>
  <c r="AT58"/>
  <c r="AS58"/>
  <c r="BL58" s="1"/>
  <c r="CA58" s="1"/>
  <c r="CF51"/>
  <c r="CF3" s="1"/>
  <c r="CF33" s="1"/>
  <c r="CE51"/>
  <c r="CE3" s="1"/>
  <c r="CE33" s="1"/>
  <c r="CE34" s="1"/>
  <c r="BK51"/>
  <c r="BJ51"/>
  <c r="BI51"/>
  <c r="BD51"/>
  <c r="BB51"/>
  <c r="BB3" s="1"/>
  <c r="BB35" s="1" a="1"/>
  <c r="BB35" s="1"/>
  <c r="BA51"/>
  <c r="BA3" s="1"/>
  <c r="AZ51"/>
  <c r="AY51"/>
  <c r="AY3" s="1"/>
  <c r="AX51"/>
  <c r="AX3" s="1"/>
  <c r="AW51"/>
  <c r="AW3" s="1"/>
  <c r="AT51"/>
  <c r="AS51"/>
  <c r="AS3" s="1"/>
  <c r="AP51"/>
  <c r="BP3" s="1"/>
  <c r="CX50"/>
  <c r="CW50"/>
  <c r="CV50"/>
  <c r="CU50"/>
  <c r="CT50"/>
  <c r="CS50"/>
  <c r="CM50"/>
  <c r="CL50"/>
  <c r="CH50"/>
  <c r="CF50"/>
  <c r="CE50"/>
  <c r="CC50"/>
  <c r="CB50"/>
  <c r="CA50"/>
  <c r="BZ50"/>
  <c r="BY50"/>
  <c r="BX50"/>
  <c r="BU50"/>
  <c r="BR50"/>
  <c r="BQ50"/>
  <c r="BK50"/>
  <c r="BJ50"/>
  <c r="BB50"/>
  <c r="BA50"/>
  <c r="AZ50"/>
  <c r="AY50"/>
  <c r="AX50"/>
  <c r="AW50"/>
  <c r="G44"/>
  <c r="E43" s="1"/>
  <c r="E44"/>
  <c r="B44"/>
  <c r="AC43"/>
  <c r="G43"/>
  <c r="AU51" s="1"/>
  <c r="B43"/>
  <c r="BF51" s="1"/>
  <c r="G42"/>
  <c r="AV51" s="1"/>
  <c r="E42"/>
  <c r="CK51" s="1"/>
  <c r="D42"/>
  <c r="BE51" s="1"/>
  <c r="BE3" s="1"/>
  <c r="C42"/>
  <c r="A42"/>
  <c r="AM41"/>
  <c r="AL41"/>
  <c r="AK41"/>
  <c r="AJ41"/>
  <c r="G41"/>
  <c r="F4" s="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S34"/>
  <c r="CM34"/>
  <c r="CF34"/>
  <c r="BY34"/>
  <c r="BR34"/>
  <c r="BK34"/>
  <c r="BG34"/>
  <c r="AX34"/>
  <c r="D34"/>
  <c r="CX33"/>
  <c r="CW33"/>
  <c r="CV33"/>
  <c r="CU33"/>
  <c r="CM33"/>
  <c r="CL33"/>
  <c r="CL34" s="1"/>
  <c r="CH33"/>
  <c r="CC33"/>
  <c r="CB33"/>
  <c r="CA33"/>
  <c r="BZ33"/>
  <c r="BS33"/>
  <c r="BR33"/>
  <c r="AI17" s="1"/>
  <c r="BO33"/>
  <c r="BN33"/>
  <c r="BM33"/>
  <c r="BK33"/>
  <c r="G33" s="1"/>
  <c r="BJ33"/>
  <c r="BJ34" s="1"/>
  <c r="BI33"/>
  <c r="BH33"/>
  <c r="AZ33"/>
  <c r="AY33"/>
  <c r="AT33"/>
  <c r="K33"/>
  <c r="J33"/>
  <c r="I33"/>
  <c r="H33"/>
  <c r="F33"/>
  <c r="E33"/>
  <c r="AI18"/>
  <c r="AM17"/>
  <c r="AL17"/>
  <c r="AK17"/>
  <c r="AJ17"/>
  <c r="F11"/>
  <c r="E11"/>
  <c r="D11"/>
  <c r="C11"/>
  <c r="B11"/>
  <c r="CT10"/>
  <c r="CS10"/>
  <c r="CM10"/>
  <c r="CL10"/>
  <c r="CF10"/>
  <c r="CE10"/>
  <c r="CC10"/>
  <c r="BY10"/>
  <c r="BX10"/>
  <c r="BV10"/>
  <c r="BR10"/>
  <c r="BQ10"/>
  <c r="BO10"/>
  <c r="BM10"/>
  <c r="BK10"/>
  <c r="BJ10"/>
  <c r="BI10"/>
  <c r="BD10"/>
  <c r="BC10"/>
  <c r="BB10"/>
  <c r="BA10"/>
  <c r="AZ10"/>
  <c r="AY10"/>
  <c r="AX10"/>
  <c r="AW10"/>
  <c r="AV10"/>
  <c r="AU10"/>
  <c r="AT10"/>
  <c r="AS10"/>
  <c r="AR10"/>
  <c r="AQ10"/>
  <c r="F10"/>
  <c r="E10"/>
  <c r="D10"/>
  <c r="C10"/>
  <c r="B10"/>
  <c r="CT9"/>
  <c r="CS9"/>
  <c r="CM9"/>
  <c r="CL9"/>
  <c r="CJ9"/>
  <c r="CF9"/>
  <c r="CE9"/>
  <c r="CC9"/>
  <c r="BY9"/>
  <c r="BX9"/>
  <c r="BR9"/>
  <c r="BQ9"/>
  <c r="BO9"/>
  <c r="BN9"/>
  <c r="BL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F9"/>
  <c r="E9"/>
  <c r="D9"/>
  <c r="C9"/>
  <c r="B9"/>
  <c r="CT8"/>
  <c r="CS8"/>
  <c r="CM8"/>
  <c r="CL8"/>
  <c r="CF8"/>
  <c r="CE8"/>
  <c r="BY8"/>
  <c r="BX8"/>
  <c r="BV8"/>
  <c r="BR8"/>
  <c r="BQ8"/>
  <c r="BO8"/>
  <c r="BN8"/>
  <c r="BK8"/>
  <c r="BJ8"/>
  <c r="BI8"/>
  <c r="BF8"/>
  <c r="BE8"/>
  <c r="BC8"/>
  <c r="BB8"/>
  <c r="BA8"/>
  <c r="AZ8"/>
  <c r="AX8"/>
  <c r="AW8"/>
  <c r="AV8"/>
  <c r="AT8"/>
  <c r="AS8"/>
  <c r="AR8"/>
  <c r="AQ8"/>
  <c r="E8"/>
  <c r="D8"/>
  <c r="C8"/>
  <c r="B8"/>
  <c r="CT7"/>
  <c r="CS7"/>
  <c r="CM7"/>
  <c r="CL7"/>
  <c r="CJ7"/>
  <c r="CE7"/>
  <c r="CC7"/>
  <c r="BY7"/>
  <c r="BX7"/>
  <c r="BV7"/>
  <c r="BR7"/>
  <c r="BQ7"/>
  <c r="BO7"/>
  <c r="BN7"/>
  <c r="BL7"/>
  <c r="BK7"/>
  <c r="BJ7"/>
  <c r="BF7"/>
  <c r="BE7"/>
  <c r="BD7"/>
  <c r="BC7"/>
  <c r="BA7"/>
  <c r="AZ7"/>
  <c r="AY7"/>
  <c r="AW7"/>
  <c r="AV7"/>
  <c r="AU7"/>
  <c r="AS7"/>
  <c r="AR7"/>
  <c r="AQ7"/>
  <c r="F7"/>
  <c r="E7"/>
  <c r="D7"/>
  <c r="C7"/>
  <c r="B7"/>
  <c r="CT6"/>
  <c r="CS6"/>
  <c r="CM6"/>
  <c r="CL6"/>
  <c r="CF6"/>
  <c r="CE6"/>
  <c r="BY6"/>
  <c r="BX6"/>
  <c r="BV6"/>
  <c r="BS6"/>
  <c r="BR6"/>
  <c r="BQ6"/>
  <c r="BO6"/>
  <c r="BN6"/>
  <c r="BK6"/>
  <c r="BJ6"/>
  <c r="BI6"/>
  <c r="BF6"/>
  <c r="BE6"/>
  <c r="BC6"/>
  <c r="BB6"/>
  <c r="BA6"/>
  <c r="AZ6"/>
  <c r="AX6"/>
  <c r="AW6"/>
  <c r="AV6"/>
  <c r="AT6"/>
  <c r="AS6"/>
  <c r="AR6"/>
  <c r="AQ6"/>
  <c r="E6"/>
  <c r="D6"/>
  <c r="C6"/>
  <c r="B6"/>
  <c r="CT5"/>
  <c r="CS5"/>
  <c r="CM5"/>
  <c r="CL5"/>
  <c r="CJ5"/>
  <c r="CE5"/>
  <c r="CC5"/>
  <c r="BY5"/>
  <c r="BX5"/>
  <c r="BV5"/>
  <c r="BS5"/>
  <c r="BR5"/>
  <c r="BQ5"/>
  <c r="BO5"/>
  <c r="BN5"/>
  <c r="BL5"/>
  <c r="BK5"/>
  <c r="BJ5"/>
  <c r="BF5"/>
  <c r="BE5"/>
  <c r="BD5"/>
  <c r="BC5"/>
  <c r="BA5"/>
  <c r="AZ5"/>
  <c r="AY5"/>
  <c r="AW5"/>
  <c r="AV5"/>
  <c r="AU5"/>
  <c r="AS5"/>
  <c r="AR5"/>
  <c r="AQ5"/>
  <c r="E5"/>
  <c r="B5"/>
  <c r="CT4"/>
  <c r="CS4"/>
  <c r="CM4"/>
  <c r="CL4"/>
  <c r="CF4"/>
  <c r="CE4"/>
  <c r="BY4"/>
  <c r="BX4"/>
  <c r="BR4"/>
  <c r="BQ4"/>
  <c r="BK4"/>
  <c r="BJ4"/>
  <c r="BC4"/>
  <c r="BA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4"/>
  <c r="B4"/>
  <c r="CT3"/>
  <c r="CT33" s="1"/>
  <c r="CS3"/>
  <c r="CS33" s="1"/>
  <c r="CR3"/>
  <c r="CM3"/>
  <c r="CL3"/>
  <c r="CD3"/>
  <c r="BY3"/>
  <c r="BY33" s="1"/>
  <c r="BX3"/>
  <c r="BX33" s="1"/>
  <c r="BX34" s="1"/>
  <c r="BR3"/>
  <c r="BQ3"/>
  <c r="BQ33" s="1"/>
  <c r="BQ34" s="1"/>
  <c r="BK3"/>
  <c r="BJ3"/>
  <c r="BI3"/>
  <c r="BD3"/>
  <c r="BC3"/>
  <c r="AZ3"/>
  <c r="AV3"/>
  <c r="AU3"/>
  <c r="AT3"/>
  <c r="AR3"/>
  <c r="AQ3"/>
  <c r="B2"/>
  <c r="B32" s="1"/>
  <c r="CT1"/>
  <c r="CS1"/>
  <c r="CQ1"/>
  <c r="CP1"/>
  <c r="CO1"/>
  <c r="CN1"/>
  <c r="CM1"/>
  <c r="CL1"/>
  <c r="CJ1"/>
  <c r="CI1"/>
  <c r="CI70" s="1"/>
  <c r="CH1"/>
  <c r="CG1"/>
  <c r="CF1"/>
  <c r="CE1"/>
  <c r="BY1"/>
  <c r="BX1"/>
  <c r="BV1"/>
  <c r="BV50" s="1"/>
  <c r="BU1"/>
  <c r="BU33" s="1"/>
  <c r="BT1"/>
  <c r="BS1"/>
  <c r="BR1"/>
  <c r="BQ1"/>
  <c r="BO1"/>
  <c r="BN1"/>
  <c r="BM1"/>
  <c r="BM50" s="1"/>
  <c r="BL1"/>
  <c r="BK1"/>
  <c r="BJ1"/>
  <c r="BB1"/>
  <c r="BB33" s="1"/>
  <c r="BA1"/>
  <c r="BA33" s="1"/>
  <c r="AZ1"/>
  <c r="AY1"/>
  <c r="AX1"/>
  <c r="AW1"/>
  <c r="AV1"/>
  <c r="AV50" s="1"/>
  <c r="AU1"/>
  <c r="AT1"/>
  <c r="AS1"/>
  <c r="AA1"/>
  <c r="Z1"/>
  <c r="E1"/>
  <c r="CY34" s="1"/>
  <c r="D1"/>
  <c r="C1"/>
  <c r="B1"/>
  <c r="B33" s="1"/>
  <c r="B200" i="65"/>
  <c r="BQ200" s="1"/>
  <c r="CA198"/>
  <c r="BM198"/>
  <c r="BL198"/>
  <c r="AV198"/>
  <c r="BO198" s="1"/>
  <c r="AT198"/>
  <c r="AS198"/>
  <c r="CR191"/>
  <c r="CK191"/>
  <c r="CF191"/>
  <c r="CE191"/>
  <c r="CD191"/>
  <c r="BW191"/>
  <c r="BM191"/>
  <c r="BK191"/>
  <c r="BJ191"/>
  <c r="BI191"/>
  <c r="BE191"/>
  <c r="BE10" s="1"/>
  <c r="BD191"/>
  <c r="BD10" s="1"/>
  <c r="BB191"/>
  <c r="BA191"/>
  <c r="AZ191"/>
  <c r="AZ10" s="1"/>
  <c r="AY191"/>
  <c r="AX191"/>
  <c r="AW191"/>
  <c r="AV191"/>
  <c r="BO191" s="1"/>
  <c r="AU191"/>
  <c r="BN191" s="1"/>
  <c r="AT191"/>
  <c r="AS191"/>
  <c r="BL191" s="1"/>
  <c r="CG191" s="1"/>
  <c r="AP191"/>
  <c r="CK10" s="1"/>
  <c r="CX190"/>
  <c r="CW190"/>
  <c r="CV190"/>
  <c r="CU190"/>
  <c r="CT190"/>
  <c r="CS190"/>
  <c r="CO190"/>
  <c r="CM190"/>
  <c r="CL190"/>
  <c r="CG190"/>
  <c r="CF190"/>
  <c r="CE190"/>
  <c r="CC190"/>
  <c r="CB190"/>
  <c r="CA190"/>
  <c r="BZ190"/>
  <c r="BY190"/>
  <c r="BX190"/>
  <c r="BR190"/>
  <c r="BQ190"/>
  <c r="BK190"/>
  <c r="BJ190"/>
  <c r="BB190"/>
  <c r="BA190"/>
  <c r="AZ190"/>
  <c r="AY190"/>
  <c r="AX190"/>
  <c r="AW190"/>
  <c r="AT190"/>
  <c r="G184"/>
  <c r="E183" s="1"/>
  <c r="E184"/>
  <c r="B184"/>
  <c r="AM183"/>
  <c r="AC183"/>
  <c r="G183"/>
  <c r="B183"/>
  <c r="BF191" s="1"/>
  <c r="AM182"/>
  <c r="AL182"/>
  <c r="AL183" s="1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180"/>
  <c r="BJ180" s="1"/>
  <c r="BM178"/>
  <c r="BL178"/>
  <c r="CA178" s="1"/>
  <c r="AV178"/>
  <c r="BO178" s="1"/>
  <c r="AT178"/>
  <c r="AS178"/>
  <c r="CR171"/>
  <c r="CK171"/>
  <c r="CH171"/>
  <c r="CW171" s="1"/>
  <c r="CW9" s="1"/>
  <c r="CG171"/>
  <c r="CG9" s="1"/>
  <c r="CF171"/>
  <c r="CE171"/>
  <c r="CD171"/>
  <c r="CC171"/>
  <c r="CC9" s="1"/>
  <c r="BW171"/>
  <c r="BT171"/>
  <c r="BS171"/>
  <c r="BN171"/>
  <c r="BM171"/>
  <c r="BK171"/>
  <c r="BJ171"/>
  <c r="BJ9" s="1"/>
  <c r="BI171"/>
  <c r="BI9" s="1"/>
  <c r="BE171"/>
  <c r="BD171"/>
  <c r="BB171"/>
  <c r="BA171"/>
  <c r="AZ171"/>
  <c r="AY171"/>
  <c r="AX171"/>
  <c r="AW171"/>
  <c r="AV171"/>
  <c r="BO171" s="1"/>
  <c r="AU171"/>
  <c r="AT171"/>
  <c r="AS171"/>
  <c r="BL171" s="1"/>
  <c r="BL9" s="1"/>
  <c r="AP171"/>
  <c r="CX170"/>
  <c r="CW170"/>
  <c r="CV170"/>
  <c r="CU170"/>
  <c r="CT170"/>
  <c r="CS170"/>
  <c r="CM170"/>
  <c r="CL170"/>
  <c r="CJ170"/>
  <c r="CF170"/>
  <c r="CE170"/>
  <c r="CC170"/>
  <c r="CB170"/>
  <c r="CA170"/>
  <c r="BZ170"/>
  <c r="BY170"/>
  <c r="BX170"/>
  <c r="BR170"/>
  <c r="BQ170"/>
  <c r="BM170"/>
  <c r="BK170"/>
  <c r="BJ170"/>
  <c r="BB170"/>
  <c r="BA170"/>
  <c r="AZ170"/>
  <c r="AY170"/>
  <c r="AX170"/>
  <c r="AW170"/>
  <c r="AU170"/>
  <c r="G164"/>
  <c r="E163" s="1"/>
  <c r="AL163" s="1"/>
  <c r="E164"/>
  <c r="B164"/>
  <c r="AC163"/>
  <c r="G163"/>
  <c r="B163"/>
  <c r="BF171" s="1"/>
  <c r="AM162"/>
  <c r="AL162"/>
  <c r="AK162"/>
  <c r="AJ162"/>
  <c r="Z162"/>
  <c r="G162"/>
  <c r="E162"/>
  <c r="BP171" s="1"/>
  <c r="D162"/>
  <c r="C162"/>
  <c r="C10" s="1"/>
  <c r="A162"/>
  <c r="AM161"/>
  <c r="AL161"/>
  <c r="AK161"/>
  <c r="AJ161"/>
  <c r="G161"/>
  <c r="B161"/>
  <c r="B160"/>
  <c r="CA158"/>
  <c r="BM158"/>
  <c r="BL158"/>
  <c r="AV158"/>
  <c r="BO158" s="1"/>
  <c r="AT158"/>
  <c r="AS158"/>
  <c r="CR151"/>
  <c r="CK151"/>
  <c r="CF151"/>
  <c r="CE151"/>
  <c r="CD151"/>
  <c r="BW151"/>
  <c r="BM151"/>
  <c r="BK151"/>
  <c r="BJ151"/>
  <c r="BI151"/>
  <c r="BE151"/>
  <c r="BD151"/>
  <c r="BB151"/>
  <c r="BA151"/>
  <c r="AZ151"/>
  <c r="AZ8" s="1"/>
  <c r="AY151"/>
  <c r="AY8" s="1"/>
  <c r="AX151"/>
  <c r="AW151"/>
  <c r="AV151"/>
  <c r="BO151" s="1"/>
  <c r="AU151"/>
  <c r="BN151" s="1"/>
  <c r="AT151"/>
  <c r="AS151"/>
  <c r="BL151" s="1"/>
  <c r="CG151" s="1"/>
  <c r="AP151"/>
  <c r="CY8" s="1"/>
  <c r="CX150"/>
  <c r="CW150"/>
  <c r="CV150"/>
  <c r="CU150"/>
  <c r="CT150"/>
  <c r="CS150"/>
  <c r="CO150"/>
  <c r="CM150"/>
  <c r="CL150"/>
  <c r="CG150"/>
  <c r="CF150"/>
  <c r="CE150"/>
  <c r="CC150"/>
  <c r="CB150"/>
  <c r="CA150"/>
  <c r="BZ150"/>
  <c r="BY150"/>
  <c r="BX150"/>
  <c r="BR150"/>
  <c r="BQ150"/>
  <c r="BK150"/>
  <c r="BJ150"/>
  <c r="BB150"/>
  <c r="BA150"/>
  <c r="AZ150"/>
  <c r="AY150"/>
  <c r="AX150"/>
  <c r="AW150"/>
  <c r="AT150"/>
  <c r="G144"/>
  <c r="E143" s="1"/>
  <c r="E144"/>
  <c r="B144"/>
  <c r="AM143"/>
  <c r="AC143"/>
  <c r="G143"/>
  <c r="B143"/>
  <c r="BF151" s="1"/>
  <c r="BF8" s="1"/>
  <c r="AM142"/>
  <c r="AL142"/>
  <c r="AL143" s="1"/>
  <c r="AK142"/>
  <c r="AJ142"/>
  <c r="Z142"/>
  <c r="G142"/>
  <c r="E142"/>
  <c r="BP151" s="1"/>
  <c r="D142"/>
  <c r="C142"/>
  <c r="A142"/>
  <c r="AM141"/>
  <c r="AL141"/>
  <c r="AK141"/>
  <c r="AJ141"/>
  <c r="G141"/>
  <c r="B141"/>
  <c r="CL140"/>
  <c r="BQ140"/>
  <c r="B140"/>
  <c r="BJ140" s="1"/>
  <c r="BM138"/>
  <c r="BL138"/>
  <c r="CA138" s="1"/>
  <c r="AV138"/>
  <c r="BO138" s="1"/>
  <c r="AT138"/>
  <c r="AS138"/>
  <c r="CR131"/>
  <c r="CK131"/>
  <c r="CH131"/>
  <c r="CW131" s="1"/>
  <c r="CW7" s="1"/>
  <c r="CG131"/>
  <c r="CN131" s="1"/>
  <c r="CN7" s="1"/>
  <c r="CF131"/>
  <c r="CE131"/>
  <c r="CD131"/>
  <c r="CC131"/>
  <c r="CC7" s="1"/>
  <c r="BW131"/>
  <c r="BT131"/>
  <c r="BS131"/>
  <c r="BS7" s="1"/>
  <c r="BN131"/>
  <c r="BZ131" s="1"/>
  <c r="BZ7" s="1"/>
  <c r="BM131"/>
  <c r="BK131"/>
  <c r="BJ131"/>
  <c r="BI131"/>
  <c r="BE131"/>
  <c r="BD131"/>
  <c r="BB131"/>
  <c r="BA131"/>
  <c r="AZ131"/>
  <c r="AY131"/>
  <c r="AX131"/>
  <c r="AW131"/>
  <c r="AV131"/>
  <c r="BO131" s="1"/>
  <c r="AU131"/>
  <c r="AT131"/>
  <c r="AS131"/>
  <c r="BL131" s="1"/>
  <c r="BL7" s="1"/>
  <c r="AP131"/>
  <c r="CX130"/>
  <c r="CW130"/>
  <c r="CV130"/>
  <c r="CU130"/>
  <c r="CT130"/>
  <c r="CS130"/>
  <c r="CM130"/>
  <c r="CL130"/>
  <c r="CJ130"/>
  <c r="CF130"/>
  <c r="CE130"/>
  <c r="CC130"/>
  <c r="CB130"/>
  <c r="CA130"/>
  <c r="BZ130"/>
  <c r="BY130"/>
  <c r="BX130"/>
  <c r="BR130"/>
  <c r="BQ130"/>
  <c r="BM130"/>
  <c r="BK130"/>
  <c r="BJ130"/>
  <c r="BB130"/>
  <c r="BA130"/>
  <c r="AZ130"/>
  <c r="AY130"/>
  <c r="AX130"/>
  <c r="AW130"/>
  <c r="AU130"/>
  <c r="G124"/>
  <c r="E123" s="1"/>
  <c r="E124"/>
  <c r="B124"/>
  <c r="AC123"/>
  <c r="G123"/>
  <c r="B123"/>
  <c r="BF131" s="1"/>
  <c r="AM122"/>
  <c r="AL122"/>
  <c r="AK122"/>
  <c r="AJ122"/>
  <c r="Z122"/>
  <c r="G122"/>
  <c r="E122"/>
  <c r="BP131" s="1"/>
  <c r="D122"/>
  <c r="C122"/>
  <c r="C8" s="1"/>
  <c r="A122"/>
  <c r="AM121"/>
  <c r="AL121"/>
  <c r="AK121"/>
  <c r="AJ121"/>
  <c r="G121"/>
  <c r="B121"/>
  <c r="B120"/>
  <c r="CA118"/>
  <c r="BM118"/>
  <c r="BL118"/>
  <c r="AV118"/>
  <c r="BO118" s="1"/>
  <c r="AT118"/>
  <c r="AS118"/>
  <c r="CR111"/>
  <c r="CK111"/>
  <c r="CF111"/>
  <c r="CE111"/>
  <c r="CD111"/>
  <c r="BW111"/>
  <c r="BM111"/>
  <c r="BK111"/>
  <c r="BJ111"/>
  <c r="BI111"/>
  <c r="BE111"/>
  <c r="BD111"/>
  <c r="BB111"/>
  <c r="BA111"/>
  <c r="AZ111"/>
  <c r="AZ6" s="1"/>
  <c r="AY111"/>
  <c r="AY6" s="1"/>
  <c r="AX111"/>
  <c r="AW111"/>
  <c r="AV111"/>
  <c r="BO111" s="1"/>
  <c r="AU111"/>
  <c r="BN111" s="1"/>
  <c r="AT111"/>
  <c r="AS111"/>
  <c r="BL111" s="1"/>
  <c r="CG111" s="1"/>
  <c r="AP111"/>
  <c r="CY6" s="1"/>
  <c r="CX110"/>
  <c r="CW110"/>
  <c r="CV110"/>
  <c r="CU110"/>
  <c r="CT110"/>
  <c r="CS110"/>
  <c r="CO110"/>
  <c r="CM110"/>
  <c r="CL110"/>
  <c r="CG110"/>
  <c r="CF110"/>
  <c r="CE110"/>
  <c r="CC110"/>
  <c r="CB110"/>
  <c r="CA110"/>
  <c r="BZ110"/>
  <c r="BY110"/>
  <c r="BX110"/>
  <c r="BR110"/>
  <c r="BQ110"/>
  <c r="BK110"/>
  <c r="BJ110"/>
  <c r="BB110"/>
  <c r="BA110"/>
  <c r="AZ110"/>
  <c r="AY110"/>
  <c r="AX110"/>
  <c r="AW110"/>
  <c r="AT110"/>
  <c r="G104"/>
  <c r="E103" s="1"/>
  <c r="E104"/>
  <c r="B104"/>
  <c r="AM103"/>
  <c r="AC103"/>
  <c r="G103"/>
  <c r="B103"/>
  <c r="BF111" s="1"/>
  <c r="BF6" s="1"/>
  <c r="AM102"/>
  <c r="AL102"/>
  <c r="AL103" s="1"/>
  <c r="AK102"/>
  <c r="AJ102"/>
  <c r="Z102"/>
  <c r="G102"/>
  <c r="E102"/>
  <c r="BP111" s="1"/>
  <c r="D102"/>
  <c r="C102"/>
  <c r="A102"/>
  <c r="AM101"/>
  <c r="AL101"/>
  <c r="AK101"/>
  <c r="AJ101"/>
  <c r="G101"/>
  <c r="B101"/>
  <c r="CL100"/>
  <c r="BQ100"/>
  <c r="BJ100"/>
  <c r="B100"/>
  <c r="BM98"/>
  <c r="BL98"/>
  <c r="CA98" s="1"/>
  <c r="AV98"/>
  <c r="BO98" s="1"/>
  <c r="AT98"/>
  <c r="AS98"/>
  <c r="CR91"/>
  <c r="CK91"/>
  <c r="CH91"/>
  <c r="CW91" s="1"/>
  <c r="CW5" s="1"/>
  <c r="CG91"/>
  <c r="CG5" s="1"/>
  <c r="CF91"/>
  <c r="CE91"/>
  <c r="CD91"/>
  <c r="CC91"/>
  <c r="CC5" s="1"/>
  <c r="BW91"/>
  <c r="BT91"/>
  <c r="BS91"/>
  <c r="BS5" s="1"/>
  <c r="BN91"/>
  <c r="BM91"/>
  <c r="BK91"/>
  <c r="BJ91"/>
  <c r="BI91"/>
  <c r="BE91"/>
  <c r="BD91"/>
  <c r="BB91"/>
  <c r="BA91"/>
  <c r="AZ91"/>
  <c r="AY91"/>
  <c r="AX91"/>
  <c r="AW91"/>
  <c r="AV91"/>
  <c r="BO91" s="1"/>
  <c r="AU91"/>
  <c r="AT91"/>
  <c r="AS91"/>
  <c r="BL91" s="1"/>
  <c r="BL5" s="1"/>
  <c r="AP91"/>
  <c r="CX90"/>
  <c r="CW90"/>
  <c r="CV90"/>
  <c r="CU90"/>
  <c r="CT90"/>
  <c r="CS90"/>
  <c r="CM90"/>
  <c r="CL90"/>
  <c r="CJ90"/>
  <c r="CF90"/>
  <c r="CE90"/>
  <c r="CC90"/>
  <c r="CB90"/>
  <c r="CA90"/>
  <c r="BZ90"/>
  <c r="BY90"/>
  <c r="BX90"/>
  <c r="BR90"/>
  <c r="BQ90"/>
  <c r="BM90"/>
  <c r="BK90"/>
  <c r="BJ90"/>
  <c r="BB90"/>
  <c r="BA90"/>
  <c r="AZ90"/>
  <c r="AY90"/>
  <c r="AX90"/>
  <c r="AW90"/>
  <c r="AU90"/>
  <c r="G84"/>
  <c r="E83" s="1"/>
  <c r="E84"/>
  <c r="B84"/>
  <c r="AL83"/>
  <c r="AC83"/>
  <c r="G83"/>
  <c r="B83"/>
  <c r="BF91" s="1"/>
  <c r="AM82"/>
  <c r="AL82"/>
  <c r="AK82"/>
  <c r="AJ82"/>
  <c r="Z82"/>
  <c r="G82"/>
  <c r="E82"/>
  <c r="BP91" s="1"/>
  <c r="D82"/>
  <c r="C82"/>
  <c r="C6" s="1"/>
  <c r="A82"/>
  <c r="AM81"/>
  <c r="AL81"/>
  <c r="AK81"/>
  <c r="AJ81"/>
  <c r="G81"/>
  <c r="B81"/>
  <c r="B80"/>
  <c r="BQ80" s="1"/>
  <c r="CA78"/>
  <c r="BM78"/>
  <c r="BL78"/>
  <c r="AV78"/>
  <c r="BO78" s="1"/>
  <c r="AT78"/>
  <c r="AS78"/>
  <c r="CF71"/>
  <c r="CE71"/>
  <c r="BK71"/>
  <c r="BJ71"/>
  <c r="BI71"/>
  <c r="BD71"/>
  <c r="BD4" s="1"/>
  <c r="BB71"/>
  <c r="BB4" s="1"/>
  <c r="BA71"/>
  <c r="AZ71"/>
  <c r="AY71"/>
  <c r="AY4" s="1"/>
  <c r="AX71"/>
  <c r="AX4" s="1"/>
  <c r="AW71"/>
  <c r="AV71"/>
  <c r="AU71"/>
  <c r="AU4" s="1"/>
  <c r="CX70"/>
  <c r="CW70"/>
  <c r="CV70"/>
  <c r="CU70"/>
  <c r="CT70"/>
  <c r="CS70"/>
  <c r="CM70"/>
  <c r="CL70"/>
  <c r="CJ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AU70"/>
  <c r="G64"/>
  <c r="E63" s="1"/>
  <c r="E64"/>
  <c r="B64"/>
  <c r="AC63"/>
  <c r="G63"/>
  <c r="B63"/>
  <c r="BF71" s="1"/>
  <c r="AL63"/>
  <c r="G62"/>
  <c r="E62"/>
  <c r="D62"/>
  <c r="BE71" s="1"/>
  <c r="BE4" s="1"/>
  <c r="C62"/>
  <c r="AM61"/>
  <c r="AL61"/>
  <c r="AK61"/>
  <c r="AJ61"/>
  <c r="G61"/>
  <c r="F5" s="1"/>
  <c r="B61"/>
  <c r="B5" s="1"/>
  <c r="B60"/>
  <c r="CS60" s="1"/>
  <c r="BO58"/>
  <c r="BL58"/>
  <c r="CA58" s="1"/>
  <c r="AV58"/>
  <c r="AT58"/>
  <c r="BM58" s="1"/>
  <c r="AS58"/>
  <c r="CF51"/>
  <c r="CE51"/>
  <c r="BK51"/>
  <c r="BJ51"/>
  <c r="BI51"/>
  <c r="BI3" s="1"/>
  <c r="BD51"/>
  <c r="BD3" s="1"/>
  <c r="BB51"/>
  <c r="BB3" s="1"/>
  <c r="BA51"/>
  <c r="BA3" s="1"/>
  <c r="AZ51"/>
  <c r="AY51"/>
  <c r="AY3" s="1"/>
  <c r="AX51"/>
  <c r="AX3" s="1"/>
  <c r="AW51"/>
  <c r="AW3" s="1"/>
  <c r="CX50"/>
  <c r="CW50"/>
  <c r="CV50"/>
  <c r="CU50"/>
  <c r="CT50"/>
  <c r="CS50"/>
  <c r="CO50"/>
  <c r="CM50"/>
  <c r="CL50"/>
  <c r="CJ50"/>
  <c r="CF50"/>
  <c r="CE50"/>
  <c r="CC50"/>
  <c r="CB50"/>
  <c r="CA50"/>
  <c r="BZ50"/>
  <c r="BY50"/>
  <c r="BX50"/>
  <c r="BU50"/>
  <c r="BR50"/>
  <c r="BQ50"/>
  <c r="BL50"/>
  <c r="BK50"/>
  <c r="BJ50"/>
  <c r="BB50"/>
  <c r="BA50"/>
  <c r="AZ50"/>
  <c r="AY50"/>
  <c r="AX50"/>
  <c r="AW50"/>
  <c r="AT50"/>
  <c r="G44"/>
  <c r="E44"/>
  <c r="B44"/>
  <c r="AC43"/>
  <c r="G43"/>
  <c r="B43"/>
  <c r="BF51" s="1"/>
  <c r="BF3" s="1"/>
  <c r="G42"/>
  <c r="E42"/>
  <c r="BW51" s="1"/>
  <c r="D42"/>
  <c r="BE51" s="1"/>
  <c r="BE3" s="1"/>
  <c r="C42"/>
  <c r="C4" s="1"/>
  <c r="AM41"/>
  <c r="AL41"/>
  <c r="AK41"/>
  <c r="AJ41"/>
  <c r="G4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F34"/>
  <c r="BY34"/>
  <c r="BR34"/>
  <c r="AI18" s="1"/>
  <c r="BK34"/>
  <c r="BG34"/>
  <c r="AX34"/>
  <c r="D34"/>
  <c r="CX33"/>
  <c r="CW33"/>
  <c r="CV33"/>
  <c r="CU33"/>
  <c r="CL33"/>
  <c r="CL34" s="1"/>
  <c r="CG33"/>
  <c r="CC33"/>
  <c r="CB33"/>
  <c r="CA33"/>
  <c r="BZ33"/>
  <c r="BR33"/>
  <c r="AI17" s="1"/>
  <c r="BQ33"/>
  <c r="BQ34" s="1"/>
  <c r="BM33"/>
  <c r="BL33"/>
  <c r="BI33"/>
  <c r="BH33"/>
  <c r="BF33"/>
  <c r="BF34" s="1"/>
  <c r="AY33"/>
  <c r="K33"/>
  <c r="J33"/>
  <c r="I33"/>
  <c r="H33"/>
  <c r="E33"/>
  <c r="B33"/>
  <c r="B32"/>
  <c r="AM17"/>
  <c r="AL17"/>
  <c r="AK17"/>
  <c r="AJ17"/>
  <c r="F11"/>
  <c r="E11"/>
  <c r="D11"/>
  <c r="B11"/>
  <c r="CT10"/>
  <c r="CS10"/>
  <c r="CR10"/>
  <c r="CM10"/>
  <c r="CL10"/>
  <c r="CF10"/>
  <c r="CE10"/>
  <c r="BY10"/>
  <c r="BX10"/>
  <c r="BR10"/>
  <c r="BQ10"/>
  <c r="BP10"/>
  <c r="BL10"/>
  <c r="BK10"/>
  <c r="BJ10"/>
  <c r="BI10"/>
  <c r="BG10"/>
  <c r="BF10"/>
  <c r="BC10"/>
  <c r="BB10"/>
  <c r="BA10"/>
  <c r="AY10"/>
  <c r="AX10"/>
  <c r="AW10"/>
  <c r="AU10"/>
  <c r="AT10"/>
  <c r="AS10"/>
  <c r="AR10"/>
  <c r="AQ10"/>
  <c r="F10"/>
  <c r="E10"/>
  <c r="D10"/>
  <c r="B10"/>
  <c r="CY9"/>
  <c r="CT9"/>
  <c r="CS9"/>
  <c r="CR9"/>
  <c r="CM9"/>
  <c r="CL9"/>
  <c r="CK9"/>
  <c r="CH9"/>
  <c r="CF9"/>
  <c r="CE9"/>
  <c r="CD9"/>
  <c r="BY9"/>
  <c r="BX9"/>
  <c r="BW9"/>
  <c r="BT9"/>
  <c r="BS9"/>
  <c r="BR9"/>
  <c r="BQ9"/>
  <c r="BP9"/>
  <c r="BO9"/>
  <c r="BN9"/>
  <c r="BM9"/>
  <c r="BK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F9"/>
  <c r="E9"/>
  <c r="D9"/>
  <c r="C9"/>
  <c r="B9"/>
  <c r="CT8"/>
  <c r="CS8"/>
  <c r="CM8"/>
  <c r="CL8"/>
  <c r="CF8"/>
  <c r="CE8"/>
  <c r="CD8"/>
  <c r="BY8"/>
  <c r="BX8"/>
  <c r="BR8"/>
  <c r="BQ8"/>
  <c r="BN8"/>
  <c r="BL8"/>
  <c r="BK8"/>
  <c r="BJ8"/>
  <c r="BI8"/>
  <c r="BE8"/>
  <c r="BD8"/>
  <c r="BC8"/>
  <c r="BB8"/>
  <c r="BA8"/>
  <c r="AX8"/>
  <c r="AW8"/>
  <c r="AT8"/>
  <c r="AS8"/>
  <c r="AR8"/>
  <c r="AQ8"/>
  <c r="F8"/>
  <c r="E8"/>
  <c r="D8"/>
  <c r="B8"/>
  <c r="CY7"/>
  <c r="CT7"/>
  <c r="CS7"/>
  <c r="CR7"/>
  <c r="CM7"/>
  <c r="CL7"/>
  <c r="CK7"/>
  <c r="CH7"/>
  <c r="CF7"/>
  <c r="CE7"/>
  <c r="CD7"/>
  <c r="BY7"/>
  <c r="BX7"/>
  <c r="BW7"/>
  <c r="BT7"/>
  <c r="BR7"/>
  <c r="BQ7"/>
  <c r="BP7"/>
  <c r="BO7"/>
  <c r="BN7"/>
  <c r="BM7"/>
  <c r="BK7"/>
  <c r="BJ7"/>
  <c r="BI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F7"/>
  <c r="E7"/>
  <c r="D7"/>
  <c r="C7"/>
  <c r="B7"/>
  <c r="CT6"/>
  <c r="CS6"/>
  <c r="CM6"/>
  <c r="CL6"/>
  <c r="CF6"/>
  <c r="CE6"/>
  <c r="CD6"/>
  <c r="BY6"/>
  <c r="BX6"/>
  <c r="BR6"/>
  <c r="BQ6"/>
  <c r="BL6"/>
  <c r="BK6"/>
  <c r="BJ6"/>
  <c r="BI6"/>
  <c r="BE6"/>
  <c r="BD6"/>
  <c r="BC6"/>
  <c r="BB6"/>
  <c r="BA6"/>
  <c r="AX6"/>
  <c r="AW6"/>
  <c r="AT6"/>
  <c r="AS6"/>
  <c r="AR6"/>
  <c r="AQ6"/>
  <c r="F6"/>
  <c r="E6"/>
  <c r="D6"/>
  <c r="B6"/>
  <c r="CY5"/>
  <c r="CT5"/>
  <c r="CS5"/>
  <c r="CR5"/>
  <c r="CM5"/>
  <c r="CL5"/>
  <c r="CK5"/>
  <c r="CH5"/>
  <c r="CF5"/>
  <c r="CE5"/>
  <c r="CD5"/>
  <c r="BY5"/>
  <c r="BX5"/>
  <c r="BW5"/>
  <c r="BT5"/>
  <c r="BR5"/>
  <c r="BQ5"/>
  <c r="BP5"/>
  <c r="BO5"/>
  <c r="BN5"/>
  <c r="BM5"/>
  <c r="BK5"/>
  <c r="BJ5"/>
  <c r="BI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D5"/>
  <c r="C5"/>
  <c r="CT4"/>
  <c r="CS4"/>
  <c r="CM4"/>
  <c r="CL4"/>
  <c r="CF4"/>
  <c r="CE4"/>
  <c r="BY4"/>
  <c r="BX4"/>
  <c r="BR4"/>
  <c r="BQ4"/>
  <c r="BK4"/>
  <c r="BJ4"/>
  <c r="BI4"/>
  <c r="BF4"/>
  <c r="BC4"/>
  <c r="BA4"/>
  <c r="AZ4"/>
  <c r="AW4"/>
  <c r="AV4"/>
  <c r="AR4"/>
  <c r="AQ4"/>
  <c r="AN4"/>
  <c r="F4"/>
  <c r="CT3"/>
  <c r="CT33" s="1"/>
  <c r="CS3"/>
  <c r="CS33" s="1"/>
  <c r="CS34" s="1"/>
  <c r="CM3"/>
  <c r="CM33" s="1"/>
  <c r="CL3"/>
  <c r="CF3"/>
  <c r="CF33" s="1"/>
  <c r="CE3"/>
  <c r="CE33" s="1"/>
  <c r="CE34" s="1"/>
  <c r="BY3"/>
  <c r="BY33" s="1"/>
  <c r="BX3"/>
  <c r="BX33" s="1"/>
  <c r="BX34" s="1"/>
  <c r="BR3"/>
  <c r="BQ3"/>
  <c r="BK3"/>
  <c r="BK33" s="1"/>
  <c r="G33" s="1"/>
  <c r="BJ3"/>
  <c r="BJ33" s="1"/>
  <c r="BC3"/>
  <c r="AZ3"/>
  <c r="AR3"/>
  <c r="AQ3"/>
  <c r="B2"/>
  <c r="CT1"/>
  <c r="CS1"/>
  <c r="CQ1"/>
  <c r="CP1"/>
  <c r="CP50" s="1"/>
  <c r="CO1"/>
  <c r="CO170" s="1"/>
  <c r="CN1"/>
  <c r="CN50" s="1"/>
  <c r="CM1"/>
  <c r="CL1"/>
  <c r="CJ1"/>
  <c r="CJ190" s="1"/>
  <c r="CI1"/>
  <c r="CH1"/>
  <c r="CG1"/>
  <c r="CG50" s="1"/>
  <c r="CF1"/>
  <c r="CE1"/>
  <c r="BY1"/>
  <c r="BX1"/>
  <c r="BV1"/>
  <c r="BV170" s="1"/>
  <c r="BU1"/>
  <c r="BT1"/>
  <c r="BS1"/>
  <c r="BS70" s="1"/>
  <c r="BR1"/>
  <c r="BQ1"/>
  <c r="BO1"/>
  <c r="BN1"/>
  <c r="BN50" s="1"/>
  <c r="BM1"/>
  <c r="BM50" s="1"/>
  <c r="BL1"/>
  <c r="BK1"/>
  <c r="BJ1"/>
  <c r="BB1"/>
  <c r="BB33" s="1"/>
  <c r="BA1"/>
  <c r="BA33" s="1"/>
  <c r="AZ1"/>
  <c r="AZ33" s="1"/>
  <c r="AY1"/>
  <c r="AX1"/>
  <c r="AW1"/>
  <c r="AV1"/>
  <c r="AV33" s="1"/>
  <c r="AU1"/>
  <c r="AU50" s="1"/>
  <c r="AT1"/>
  <c r="AT33" s="1"/>
  <c r="AS1"/>
  <c r="AA1"/>
  <c r="E1"/>
  <c r="AP34" s="1"/>
  <c r="D1"/>
  <c r="C1"/>
  <c r="B1"/>
  <c r="CL200" i="64"/>
  <c r="CE200"/>
  <c r="AQ200"/>
  <c r="AH200"/>
  <c r="B200"/>
  <c r="CS200" s="1"/>
  <c r="BO198"/>
  <c r="AV198"/>
  <c r="AT198"/>
  <c r="BM198" s="1"/>
  <c r="AS198"/>
  <c r="BL198" s="1"/>
  <c r="CA198" s="1"/>
  <c r="CJ191"/>
  <c r="CQ191" s="1"/>
  <c r="CF191"/>
  <c r="CE191"/>
  <c r="CC191"/>
  <c r="CC10" s="1"/>
  <c r="BV191"/>
  <c r="BV10" s="1"/>
  <c r="BO191"/>
  <c r="BM191"/>
  <c r="BL191"/>
  <c r="CG191" s="1"/>
  <c r="BK191"/>
  <c r="BJ191"/>
  <c r="BI191"/>
  <c r="BI10" s="1"/>
  <c r="BD191"/>
  <c r="BB191"/>
  <c r="BA191"/>
  <c r="AZ191"/>
  <c r="AY191"/>
  <c r="AX191"/>
  <c r="AW191"/>
  <c r="AV191"/>
  <c r="AU191"/>
  <c r="BN191" s="1"/>
  <c r="AT191"/>
  <c r="AS191"/>
  <c r="CX190"/>
  <c r="CW190"/>
  <c r="CV190"/>
  <c r="CU190"/>
  <c r="CT190"/>
  <c r="CS190"/>
  <c r="CN190"/>
  <c r="CM190"/>
  <c r="CL190"/>
  <c r="CF190"/>
  <c r="CE190"/>
  <c r="CC190"/>
  <c r="CB190"/>
  <c r="CA190"/>
  <c r="BZ190"/>
  <c r="BY190"/>
  <c r="BX190"/>
  <c r="BR190"/>
  <c r="BQ190"/>
  <c r="BM190"/>
  <c r="BK190"/>
  <c r="BJ190"/>
  <c r="BB190"/>
  <c r="BA190"/>
  <c r="AZ190"/>
  <c r="AY190"/>
  <c r="AX190"/>
  <c r="AW190"/>
  <c r="AR189"/>
  <c r="G184"/>
  <c r="E184"/>
  <c r="B184"/>
  <c r="AC183"/>
  <c r="G183"/>
  <c r="E183"/>
  <c r="B183"/>
  <c r="BF191" s="1"/>
  <c r="AM182"/>
  <c r="AL182"/>
  <c r="AK182"/>
  <c r="AJ182"/>
  <c r="G182"/>
  <c r="E182"/>
  <c r="D182"/>
  <c r="BE191" s="1"/>
  <c r="BE10" s="1"/>
  <c r="C182"/>
  <c r="AM181"/>
  <c r="AL181"/>
  <c r="AK181"/>
  <c r="AJ181"/>
  <c r="G181"/>
  <c r="F11" s="1"/>
  <c r="B181"/>
  <c r="CE180"/>
  <c r="AH180"/>
  <c r="B180"/>
  <c r="CS180" s="1"/>
  <c r="AV178"/>
  <c r="BO178" s="1"/>
  <c r="AT178"/>
  <c r="BM178" s="1"/>
  <c r="AS178"/>
  <c r="BL178" s="1"/>
  <c r="CA178" s="1"/>
  <c r="CQ171"/>
  <c r="CQ9" s="1"/>
  <c r="CJ171"/>
  <c r="CG171"/>
  <c r="CF171"/>
  <c r="CF9" s="1"/>
  <c r="CE171"/>
  <c r="BW171"/>
  <c r="BV171"/>
  <c r="BP171"/>
  <c r="BO171"/>
  <c r="BL171"/>
  <c r="BS171" s="1"/>
  <c r="BK171"/>
  <c r="BJ171"/>
  <c r="BI171"/>
  <c r="BG171"/>
  <c r="BD171"/>
  <c r="BD9" s="1"/>
  <c r="BB171"/>
  <c r="BA171"/>
  <c r="AZ171"/>
  <c r="AY171"/>
  <c r="AY9" s="1"/>
  <c r="AX171"/>
  <c r="AW171"/>
  <c r="AV171"/>
  <c r="AU171"/>
  <c r="AT171"/>
  <c r="BM171" s="1"/>
  <c r="CB171" s="1"/>
  <c r="CB9" s="1"/>
  <c r="AS171"/>
  <c r="CX170"/>
  <c r="CW170"/>
  <c r="CV170"/>
  <c r="CU170"/>
  <c r="CT170"/>
  <c r="CS170"/>
  <c r="CO170"/>
  <c r="CM170"/>
  <c r="CL170"/>
  <c r="CJ170"/>
  <c r="CF170"/>
  <c r="CE170"/>
  <c r="CC170"/>
  <c r="CB170"/>
  <c r="CA170"/>
  <c r="BZ170"/>
  <c r="BY170"/>
  <c r="BX170"/>
  <c r="BU170"/>
  <c r="BR170"/>
  <c r="BQ170"/>
  <c r="BL170"/>
  <c r="BK170"/>
  <c r="BJ170"/>
  <c r="BB170"/>
  <c r="BA170"/>
  <c r="AZ170"/>
  <c r="AY170"/>
  <c r="AX170"/>
  <c r="AW170"/>
  <c r="AT170"/>
  <c r="AR169"/>
  <c r="G164"/>
  <c r="E164"/>
  <c r="B164"/>
  <c r="AC163"/>
  <c r="G163"/>
  <c r="B163"/>
  <c r="BF171" s="1"/>
  <c r="BF9" s="1"/>
  <c r="AM162"/>
  <c r="AL162"/>
  <c r="AK162"/>
  <c r="AJ162"/>
  <c r="G162"/>
  <c r="E162"/>
  <c r="D162"/>
  <c r="BE171" s="1"/>
  <c r="C162"/>
  <c r="A162"/>
  <c r="AM161"/>
  <c r="AL161"/>
  <c r="AK161"/>
  <c r="AJ161"/>
  <c r="G161"/>
  <c r="B161"/>
  <c r="CE160"/>
  <c r="AH160"/>
  <c r="B160"/>
  <c r="CS160" s="1"/>
  <c r="BO158"/>
  <c r="AV158"/>
  <c r="AT158"/>
  <c r="BM158" s="1"/>
  <c r="AS158"/>
  <c r="BL158" s="1"/>
  <c r="CA158" s="1"/>
  <c r="CK151"/>
  <c r="CJ151"/>
  <c r="CQ151" s="1"/>
  <c r="CQ8" s="1"/>
  <c r="CF151"/>
  <c r="CE151"/>
  <c r="CC151"/>
  <c r="BV151"/>
  <c r="BV8" s="1"/>
  <c r="BO151"/>
  <c r="BM151"/>
  <c r="BL151"/>
  <c r="CG151" s="1"/>
  <c r="CN151" s="1"/>
  <c r="CN8" s="1"/>
  <c r="BK151"/>
  <c r="BJ151"/>
  <c r="BI151"/>
  <c r="BD151"/>
  <c r="BB151"/>
  <c r="BA151"/>
  <c r="AZ151"/>
  <c r="AY151"/>
  <c r="AX151"/>
  <c r="AW151"/>
  <c r="AV151"/>
  <c r="AU151"/>
  <c r="BN151" s="1"/>
  <c r="AT151"/>
  <c r="AS151"/>
  <c r="CX150"/>
  <c r="CW150"/>
  <c r="CV150"/>
  <c r="CU150"/>
  <c r="CT150"/>
  <c r="CS150"/>
  <c r="CN150"/>
  <c r="CM150"/>
  <c r="CL150"/>
  <c r="CI150"/>
  <c r="CF150"/>
  <c r="CE150"/>
  <c r="CC150"/>
  <c r="CB150"/>
  <c r="CA150"/>
  <c r="BZ150"/>
  <c r="BY150"/>
  <c r="BX150"/>
  <c r="BR150"/>
  <c r="BQ150"/>
  <c r="BM150"/>
  <c r="BK150"/>
  <c r="BJ150"/>
  <c r="BB150"/>
  <c r="BA150"/>
  <c r="AZ150"/>
  <c r="AY150"/>
  <c r="AX150"/>
  <c r="AW150"/>
  <c r="AS150"/>
  <c r="AR149"/>
  <c r="G144"/>
  <c r="E144"/>
  <c r="B144"/>
  <c r="AC143"/>
  <c r="G143"/>
  <c r="E143"/>
  <c r="B143"/>
  <c r="BF151" s="1"/>
  <c r="AM142"/>
  <c r="AL142"/>
  <c r="AK142"/>
  <c r="AJ142"/>
  <c r="G142"/>
  <c r="E142"/>
  <c r="D142"/>
  <c r="BE151" s="1"/>
  <c r="C142"/>
  <c r="AM141"/>
  <c r="AL141"/>
  <c r="AK141"/>
  <c r="AJ141"/>
  <c r="G141"/>
  <c r="F9" s="1"/>
  <c r="B141"/>
  <c r="CL140"/>
  <c r="BJ140"/>
  <c r="AQ140"/>
  <c r="B140"/>
  <c r="CS140" s="1"/>
  <c r="AV138"/>
  <c r="BO138" s="1"/>
  <c r="AT138"/>
  <c r="BM138" s="1"/>
  <c r="AS138"/>
  <c r="BL138" s="1"/>
  <c r="CA138" s="1"/>
  <c r="CQ131"/>
  <c r="CQ7" s="1"/>
  <c r="CJ131"/>
  <c r="CG131"/>
  <c r="CN131" s="1"/>
  <c r="CN7" s="1"/>
  <c r="CF131"/>
  <c r="CF7" s="1"/>
  <c r="CE131"/>
  <c r="BW131"/>
  <c r="BV131"/>
  <c r="BP131"/>
  <c r="BO131"/>
  <c r="BL131"/>
  <c r="BS131" s="1"/>
  <c r="BS7" s="1"/>
  <c r="BK131"/>
  <c r="BJ131"/>
  <c r="BI131"/>
  <c r="BG131"/>
  <c r="BD131"/>
  <c r="BD7" s="1"/>
  <c r="BB131"/>
  <c r="BB7" s="1"/>
  <c r="BA131"/>
  <c r="AZ131"/>
  <c r="AY131"/>
  <c r="AY7" s="1"/>
  <c r="AX131"/>
  <c r="AX7" s="1"/>
  <c r="AW131"/>
  <c r="AV131"/>
  <c r="AU131"/>
  <c r="AT131"/>
  <c r="AT7" s="1"/>
  <c r="AS131"/>
  <c r="CX130"/>
  <c r="CW130"/>
  <c r="CV130"/>
  <c r="CU130"/>
  <c r="CT130"/>
  <c r="CS130"/>
  <c r="CO130"/>
  <c r="CM130"/>
  <c r="CL130"/>
  <c r="CJ130"/>
  <c r="CF130"/>
  <c r="CE130"/>
  <c r="CC130"/>
  <c r="CB130"/>
  <c r="CA130"/>
  <c r="BZ130"/>
  <c r="BY130"/>
  <c r="BX130"/>
  <c r="BU130"/>
  <c r="BR130"/>
  <c r="BQ130"/>
  <c r="BL130"/>
  <c r="BK130"/>
  <c r="BJ130"/>
  <c r="BB130"/>
  <c r="BA130"/>
  <c r="AZ130"/>
  <c r="AY130"/>
  <c r="AX130"/>
  <c r="AW130"/>
  <c r="AT130"/>
  <c r="AR129"/>
  <c r="G124"/>
  <c r="E124"/>
  <c r="E123" s="1"/>
  <c r="B124"/>
  <c r="AC123"/>
  <c r="G123"/>
  <c r="B123"/>
  <c r="BF131" s="1"/>
  <c r="BF7" s="1"/>
  <c r="AM122"/>
  <c r="AL122"/>
  <c r="AK122"/>
  <c r="AJ122"/>
  <c r="G122"/>
  <c r="E122"/>
  <c r="D122"/>
  <c r="BE131" s="1"/>
  <c r="C122"/>
  <c r="A122"/>
  <c r="AM121"/>
  <c r="AL121"/>
  <c r="AK121"/>
  <c r="AJ121"/>
  <c r="G121"/>
  <c r="B121"/>
  <c r="CL120"/>
  <c r="BJ120"/>
  <c r="AQ120"/>
  <c r="B120"/>
  <c r="CS120" s="1"/>
  <c r="BO118"/>
  <c r="AV118"/>
  <c r="AT118"/>
  <c r="BM118" s="1"/>
  <c r="AS118"/>
  <c r="BL118" s="1"/>
  <c r="CA118" s="1"/>
  <c r="CK111"/>
  <c r="CJ111"/>
  <c r="CQ111" s="1"/>
  <c r="CQ6" s="1"/>
  <c r="CF111"/>
  <c r="CE111"/>
  <c r="CC111"/>
  <c r="BV111"/>
  <c r="BO111"/>
  <c r="BM111"/>
  <c r="BL111"/>
  <c r="CG111" s="1"/>
  <c r="CN111" s="1"/>
  <c r="CN6" s="1"/>
  <c r="BK111"/>
  <c r="BJ111"/>
  <c r="BI111"/>
  <c r="BI6" s="1"/>
  <c r="BD111"/>
  <c r="BB111"/>
  <c r="BA111"/>
  <c r="AZ111"/>
  <c r="AY111"/>
  <c r="AX111"/>
  <c r="AW111"/>
  <c r="AV111"/>
  <c r="AU111"/>
  <c r="BN111" s="1"/>
  <c r="AT111"/>
  <c r="AS111"/>
  <c r="CX110"/>
  <c r="CW110"/>
  <c r="CV110"/>
  <c r="CU110"/>
  <c r="CT110"/>
  <c r="CS110"/>
  <c r="CN110"/>
  <c r="CM110"/>
  <c r="CL110"/>
  <c r="CF110"/>
  <c r="CE110"/>
  <c r="CC110"/>
  <c r="CB110"/>
  <c r="CA110"/>
  <c r="BZ110"/>
  <c r="BY110"/>
  <c r="BX110"/>
  <c r="BR110"/>
  <c r="BQ110"/>
  <c r="BM110"/>
  <c r="BK110"/>
  <c r="BJ110"/>
  <c r="BB110"/>
  <c r="BA110"/>
  <c r="AZ110"/>
  <c r="AY110"/>
  <c r="AX110"/>
  <c r="AW110"/>
  <c r="AS110"/>
  <c r="AR109"/>
  <c r="G104"/>
  <c r="E104"/>
  <c r="B104"/>
  <c r="AC103"/>
  <c r="G103"/>
  <c r="E103"/>
  <c r="B103"/>
  <c r="BF111" s="1"/>
  <c r="AM102"/>
  <c r="AL102"/>
  <c r="AK102"/>
  <c r="AJ102"/>
  <c r="G102"/>
  <c r="E102"/>
  <c r="D102"/>
  <c r="BE111" s="1"/>
  <c r="C102"/>
  <c r="AM101"/>
  <c r="AL101"/>
  <c r="AK101"/>
  <c r="AJ101"/>
  <c r="G101"/>
  <c r="F7" s="1"/>
  <c r="B101"/>
  <c r="B100"/>
  <c r="CS100" s="1"/>
  <c r="AV98"/>
  <c r="BO98" s="1"/>
  <c r="AT98"/>
  <c r="BM98" s="1"/>
  <c r="AS98"/>
  <c r="BL98" s="1"/>
  <c r="CA98" s="1"/>
  <c r="CF91"/>
  <c r="CF5" s="1"/>
  <c r="CE91"/>
  <c r="BW91"/>
  <c r="BP91"/>
  <c r="BO91"/>
  <c r="AR89" s="1"/>
  <c r="BL91"/>
  <c r="BS91" s="1"/>
  <c r="BS5" s="1"/>
  <c r="BK91"/>
  <c r="BJ91"/>
  <c r="BI91"/>
  <c r="BG91"/>
  <c r="BD91"/>
  <c r="BB91"/>
  <c r="BB5" s="1"/>
  <c r="BA91"/>
  <c r="AZ91"/>
  <c r="AY91"/>
  <c r="AY5" s="1"/>
  <c r="AX91"/>
  <c r="AX5" s="1"/>
  <c r="AW91"/>
  <c r="AV91"/>
  <c r="AU91"/>
  <c r="AT91"/>
  <c r="AT5" s="1"/>
  <c r="AS91"/>
  <c r="CX90"/>
  <c r="CW90"/>
  <c r="CV90"/>
  <c r="CU90"/>
  <c r="CT90"/>
  <c r="CS90"/>
  <c r="CO90"/>
  <c r="CM90"/>
  <c r="CL90"/>
  <c r="CJ90"/>
  <c r="CF90"/>
  <c r="CE90"/>
  <c r="CC90"/>
  <c r="CB90"/>
  <c r="CA90"/>
  <c r="BZ90"/>
  <c r="BY90"/>
  <c r="BX90"/>
  <c r="BU90"/>
  <c r="BR90"/>
  <c r="BQ90"/>
  <c r="BL90"/>
  <c r="BK90"/>
  <c r="BJ90"/>
  <c r="BB90"/>
  <c r="BA90"/>
  <c r="AZ90"/>
  <c r="AY90"/>
  <c r="AX90"/>
  <c r="AW90"/>
  <c r="AT90"/>
  <c r="G84"/>
  <c r="E84"/>
  <c r="B84"/>
  <c r="AC83"/>
  <c r="G83"/>
  <c r="B83"/>
  <c r="BF91" s="1"/>
  <c r="BF5" s="1"/>
  <c r="G82"/>
  <c r="E82"/>
  <c r="D82"/>
  <c r="BE91" s="1"/>
  <c r="C82"/>
  <c r="A82"/>
  <c r="AM81"/>
  <c r="AL81"/>
  <c r="AK81"/>
  <c r="AJ81"/>
  <c r="G81"/>
  <c r="B81"/>
  <c r="CL80"/>
  <c r="BJ80"/>
  <c r="AQ80"/>
  <c r="B80"/>
  <c r="CS80" s="1"/>
  <c r="BO78"/>
  <c r="AV78"/>
  <c r="AT78"/>
  <c r="BM78" s="1"/>
  <c r="AS78"/>
  <c r="BL78" s="1"/>
  <c r="CA78" s="1"/>
  <c r="CF71"/>
  <c r="CE71"/>
  <c r="BK71"/>
  <c r="BJ71"/>
  <c r="BI71"/>
  <c r="BG71"/>
  <c r="BD71"/>
  <c r="BD4" s="1"/>
  <c r="BB71"/>
  <c r="BA71"/>
  <c r="AZ71"/>
  <c r="AZ4" s="1"/>
  <c r="AY71"/>
  <c r="AY4" s="1"/>
  <c r="AX71"/>
  <c r="AW71"/>
  <c r="CX70"/>
  <c r="CW70"/>
  <c r="CV70"/>
  <c r="CU70"/>
  <c r="CT70"/>
  <c r="CS70"/>
  <c r="CO70"/>
  <c r="CN70"/>
  <c r="CM70"/>
  <c r="CL70"/>
  <c r="CJ70"/>
  <c r="CF70"/>
  <c r="CE70"/>
  <c r="CC70"/>
  <c r="CB70"/>
  <c r="CA70"/>
  <c r="BZ70"/>
  <c r="BY70"/>
  <c r="BX70"/>
  <c r="BR70"/>
  <c r="BQ70"/>
  <c r="BK70"/>
  <c r="BJ70"/>
  <c r="BB70"/>
  <c r="BA70"/>
  <c r="AZ70"/>
  <c r="AY70"/>
  <c r="AX70"/>
  <c r="AW70"/>
  <c r="AT70"/>
  <c r="G64"/>
  <c r="E63" s="1"/>
  <c r="E64"/>
  <c r="B64"/>
  <c r="AC63"/>
  <c r="G63"/>
  <c r="B63"/>
  <c r="BF71" s="1"/>
  <c r="BF4" s="1"/>
  <c r="G62"/>
  <c r="E62"/>
  <c r="BP71" s="1"/>
  <c r="D62"/>
  <c r="C62"/>
  <c r="AM61"/>
  <c r="AL61"/>
  <c r="AK61"/>
  <c r="AJ61"/>
  <c r="G61"/>
  <c r="B61"/>
  <c r="B5" s="1"/>
  <c r="BX60"/>
  <c r="AQ60"/>
  <c r="B60"/>
  <c r="CS60" s="1"/>
  <c r="BO58"/>
  <c r="AV58"/>
  <c r="AT58"/>
  <c r="BM58" s="1"/>
  <c r="AS58"/>
  <c r="BL58" s="1"/>
  <c r="CA58" s="1"/>
  <c r="CF51"/>
  <c r="CE51"/>
  <c r="BP51"/>
  <c r="BK51"/>
  <c r="BJ51"/>
  <c r="BI51"/>
  <c r="BG51"/>
  <c r="BD51"/>
  <c r="BD3" s="1"/>
  <c r="BB51"/>
  <c r="BA51"/>
  <c r="BA3" s="1"/>
  <c r="AZ51"/>
  <c r="AZ3" s="1"/>
  <c r="AY51"/>
  <c r="AY3" s="1"/>
  <c r="AX51"/>
  <c r="AW51"/>
  <c r="AW3" s="1"/>
  <c r="AT51"/>
  <c r="AT3" s="1"/>
  <c r="AS51"/>
  <c r="AS3" s="1"/>
  <c r="CX50"/>
  <c r="CW50"/>
  <c r="CV50"/>
  <c r="CU50"/>
  <c r="CT50"/>
  <c r="CS50"/>
  <c r="CM50"/>
  <c r="CL50"/>
  <c r="CF50"/>
  <c r="CE50"/>
  <c r="CC50"/>
  <c r="CB50"/>
  <c r="CA50"/>
  <c r="BZ50"/>
  <c r="BY50"/>
  <c r="BX50"/>
  <c r="BU50"/>
  <c r="BT50"/>
  <c r="BR50"/>
  <c r="BQ50"/>
  <c r="BL50"/>
  <c r="BK50"/>
  <c r="BJ50"/>
  <c r="BB50"/>
  <c r="BA50"/>
  <c r="AZ50"/>
  <c r="AY50"/>
  <c r="AX50"/>
  <c r="AW50"/>
  <c r="G44"/>
  <c r="E44"/>
  <c r="E43" s="1"/>
  <c r="AK43" s="1"/>
  <c r="B44"/>
  <c r="AC43"/>
  <c r="G43"/>
  <c r="AU51" s="1"/>
  <c r="B43"/>
  <c r="BF51" s="1"/>
  <c r="BF33" s="1"/>
  <c r="BF34" s="1"/>
  <c r="G42"/>
  <c r="AV51" s="1"/>
  <c r="E42"/>
  <c r="CR51" s="1"/>
  <c r="D42"/>
  <c r="C42"/>
  <c r="C4" s="1"/>
  <c r="A42"/>
  <c r="AM41"/>
  <c r="AL41"/>
  <c r="AK41"/>
  <c r="AJ41"/>
  <c r="G41"/>
  <c r="F4" s="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M34"/>
  <c r="CF34"/>
  <c r="CE34"/>
  <c r="BY34"/>
  <c r="BX34"/>
  <c r="BR34"/>
  <c r="BK34"/>
  <c r="BG34"/>
  <c r="AX34"/>
  <c r="D34"/>
  <c r="CX33"/>
  <c r="CW33"/>
  <c r="CV33"/>
  <c r="CU33"/>
  <c r="CL33"/>
  <c r="CL34" s="1"/>
  <c r="CJ33"/>
  <c r="CC33"/>
  <c r="CB33"/>
  <c r="CA33"/>
  <c r="BZ33"/>
  <c r="BR33"/>
  <c r="BQ33"/>
  <c r="BQ34" s="1"/>
  <c r="BM33"/>
  <c r="BJ33"/>
  <c r="BI33"/>
  <c r="BH33"/>
  <c r="BB33"/>
  <c r="AY33"/>
  <c r="AS33"/>
  <c r="K33"/>
  <c r="J33"/>
  <c r="I33"/>
  <c r="H33"/>
  <c r="E33"/>
  <c r="B32"/>
  <c r="AI18"/>
  <c r="AM17"/>
  <c r="AL17"/>
  <c r="AK17"/>
  <c r="AJ17"/>
  <c r="AI17"/>
  <c r="D11"/>
  <c r="C11"/>
  <c r="B11"/>
  <c r="CT10"/>
  <c r="CS10"/>
  <c r="CQ10"/>
  <c r="CM10"/>
  <c r="CL10"/>
  <c r="CJ10"/>
  <c r="CF10"/>
  <c r="CE10"/>
  <c r="BY10"/>
  <c r="BX10"/>
  <c r="BR10"/>
  <c r="BQ10"/>
  <c r="BO10"/>
  <c r="BN10"/>
  <c r="BL10"/>
  <c r="BK10"/>
  <c r="BJ10"/>
  <c r="BF10"/>
  <c r="BD10"/>
  <c r="BC10"/>
  <c r="BB10"/>
  <c r="BA10"/>
  <c r="AZ10"/>
  <c r="AY10"/>
  <c r="AX10"/>
  <c r="AW10"/>
  <c r="AV10"/>
  <c r="AU10"/>
  <c r="AT10"/>
  <c r="AS10"/>
  <c r="AR10"/>
  <c r="AQ10"/>
  <c r="F10"/>
  <c r="E10"/>
  <c r="D10"/>
  <c r="C10"/>
  <c r="B10"/>
  <c r="CT9"/>
  <c r="CS9"/>
  <c r="CM9"/>
  <c r="CL9"/>
  <c r="CJ9"/>
  <c r="CE9"/>
  <c r="BY9"/>
  <c r="BX9"/>
  <c r="BV9"/>
  <c r="BS9"/>
  <c r="BR9"/>
  <c r="BQ9"/>
  <c r="BO9"/>
  <c r="BL9"/>
  <c r="BK9"/>
  <c r="BJ9"/>
  <c r="BI9"/>
  <c r="BE9"/>
  <c r="BC9"/>
  <c r="BB9"/>
  <c r="BA9"/>
  <c r="AZ9"/>
  <c r="AX9"/>
  <c r="AW9"/>
  <c r="AV9"/>
  <c r="AT9"/>
  <c r="AS9"/>
  <c r="AR9"/>
  <c r="AQ9"/>
  <c r="D9"/>
  <c r="C9"/>
  <c r="B9"/>
  <c r="CT8"/>
  <c r="CS8"/>
  <c r="CM8"/>
  <c r="CL8"/>
  <c r="CF8"/>
  <c r="CE8"/>
  <c r="CC8"/>
  <c r="BY8"/>
  <c r="BX8"/>
  <c r="BR8"/>
  <c r="BQ8"/>
  <c r="BO8"/>
  <c r="BN8"/>
  <c r="BM8"/>
  <c r="BK8"/>
  <c r="BJ8"/>
  <c r="BI8"/>
  <c r="BF8"/>
  <c r="BE8"/>
  <c r="BD8"/>
  <c r="BC8"/>
  <c r="BB8"/>
  <c r="BA8"/>
  <c r="AZ8"/>
  <c r="AY8"/>
  <c r="AX8"/>
  <c r="AW8"/>
  <c r="AV8"/>
  <c r="AU8"/>
  <c r="AT8"/>
  <c r="AS8"/>
  <c r="AR8"/>
  <c r="AQ8"/>
  <c r="F8"/>
  <c r="E8"/>
  <c r="D8"/>
  <c r="C8"/>
  <c r="B8"/>
  <c r="CT7"/>
  <c r="CS7"/>
  <c r="CM7"/>
  <c r="CL7"/>
  <c r="CJ7"/>
  <c r="CG7"/>
  <c r="CE7"/>
  <c r="BY7"/>
  <c r="BX7"/>
  <c r="BV7"/>
  <c r="BR7"/>
  <c r="BQ7"/>
  <c r="BO7"/>
  <c r="BL7"/>
  <c r="BK7"/>
  <c r="BJ7"/>
  <c r="BI7"/>
  <c r="BE7"/>
  <c r="BC7"/>
  <c r="BA7"/>
  <c r="AZ7"/>
  <c r="AW7"/>
  <c r="AV7"/>
  <c r="AS7"/>
  <c r="AR7"/>
  <c r="AQ7"/>
  <c r="D7"/>
  <c r="C7"/>
  <c r="B7"/>
  <c r="CT6"/>
  <c r="CS6"/>
  <c r="CM6"/>
  <c r="CL6"/>
  <c r="CG6"/>
  <c r="CF6"/>
  <c r="CE6"/>
  <c r="CC6"/>
  <c r="BY6"/>
  <c r="BX6"/>
  <c r="BV6"/>
  <c r="BR6"/>
  <c r="BQ6"/>
  <c r="BO6"/>
  <c r="BN6"/>
  <c r="BK6"/>
  <c r="BJ6"/>
  <c r="BF6"/>
  <c r="BE6"/>
  <c r="BD6"/>
  <c r="BC6"/>
  <c r="BB6"/>
  <c r="BA6"/>
  <c r="AZ6"/>
  <c r="AY6"/>
  <c r="AX6"/>
  <c r="AW6"/>
  <c r="AV6"/>
  <c r="AU6"/>
  <c r="AT6"/>
  <c r="AS6"/>
  <c r="AR6"/>
  <c r="AQ6"/>
  <c r="F6"/>
  <c r="E6"/>
  <c r="D6"/>
  <c r="C6"/>
  <c r="B6"/>
  <c r="CT5"/>
  <c r="CS5"/>
  <c r="CM5"/>
  <c r="CL5"/>
  <c r="CE5"/>
  <c r="BY5"/>
  <c r="BX5"/>
  <c r="BR5"/>
  <c r="BQ5"/>
  <c r="BK5"/>
  <c r="BJ5"/>
  <c r="BI5"/>
  <c r="BE5"/>
  <c r="BD5"/>
  <c r="BC5"/>
  <c r="BA5"/>
  <c r="AZ5"/>
  <c r="AW5"/>
  <c r="AV5"/>
  <c r="AS5"/>
  <c r="AR5"/>
  <c r="AQ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5"/>
  <c r="E5"/>
  <c r="C5"/>
  <c r="CT4"/>
  <c r="CS4"/>
  <c r="CM4"/>
  <c r="CL4"/>
  <c r="CF4"/>
  <c r="CE4"/>
  <c r="BY4"/>
  <c r="BX4"/>
  <c r="BR4"/>
  <c r="BQ4"/>
  <c r="BK4"/>
  <c r="BJ4"/>
  <c r="BI4"/>
  <c r="BI37" s="1"/>
  <c r="BC4"/>
  <c r="BB4"/>
  <c r="BA4"/>
  <c r="AX4"/>
  <c r="AW4"/>
  <c r="AR4"/>
  <c r="AQ4"/>
  <c r="AN4"/>
  <c r="B4"/>
  <c r="CT3"/>
  <c r="CT33" s="1"/>
  <c r="CS3"/>
  <c r="CS33" s="1"/>
  <c r="CS34" s="1"/>
  <c r="CM3"/>
  <c r="CM33" s="1"/>
  <c r="CL3"/>
  <c r="CF3"/>
  <c r="CF33" s="1"/>
  <c r="CE3"/>
  <c r="CE33" s="1"/>
  <c r="BY3"/>
  <c r="BY33" s="1"/>
  <c r="BX3"/>
  <c r="BX33" s="1"/>
  <c r="BR3"/>
  <c r="BQ3"/>
  <c r="BK3"/>
  <c r="BK33" s="1"/>
  <c r="G33" s="1"/>
  <c r="BJ3"/>
  <c r="BI3"/>
  <c r="BF3"/>
  <c r="BC3"/>
  <c r="BB3"/>
  <c r="AX3"/>
  <c r="AV3"/>
  <c r="AU3"/>
  <c r="AR3"/>
  <c r="AQ3"/>
  <c r="B2"/>
  <c r="CT1"/>
  <c r="CS1"/>
  <c r="CQ1"/>
  <c r="CP1"/>
  <c r="CO1"/>
  <c r="CN1"/>
  <c r="CN50" s="1"/>
  <c r="CM1"/>
  <c r="CL1"/>
  <c r="CJ1"/>
  <c r="CJ50" s="1"/>
  <c r="CI1"/>
  <c r="CH1"/>
  <c r="CG1"/>
  <c r="CF1"/>
  <c r="CE1"/>
  <c r="BY1"/>
  <c r="BX1"/>
  <c r="BW1"/>
  <c r="BV1"/>
  <c r="BU1"/>
  <c r="BU33" s="1"/>
  <c r="BT1"/>
  <c r="BT33" s="1"/>
  <c r="BS1"/>
  <c r="BR1"/>
  <c r="BQ1"/>
  <c r="BO1"/>
  <c r="BN1"/>
  <c r="BM1"/>
  <c r="BM50" s="1"/>
  <c r="BL1"/>
  <c r="BL70" s="1"/>
  <c r="BK1"/>
  <c r="BJ1"/>
  <c r="BB1"/>
  <c r="BA1"/>
  <c r="BA33" s="1"/>
  <c r="AZ1"/>
  <c r="AZ33" s="1"/>
  <c r="AY1"/>
  <c r="AX1"/>
  <c r="AW1"/>
  <c r="AV1"/>
  <c r="AU1"/>
  <c r="AT1"/>
  <c r="AT50" s="1"/>
  <c r="AS1"/>
  <c r="AA1"/>
  <c r="E1"/>
  <c r="CR34" s="1"/>
  <c r="D1"/>
  <c r="C1"/>
  <c r="B1"/>
  <c r="B33" s="1"/>
  <c r="CL200" i="63"/>
  <c r="BQ200"/>
  <c r="B200"/>
  <c r="BJ200" s="1"/>
  <c r="CA198"/>
  <c r="BM198"/>
  <c r="BL198"/>
  <c r="AV198"/>
  <c r="BO198" s="1"/>
  <c r="AT198"/>
  <c r="AS198"/>
  <c r="CR191"/>
  <c r="CK191"/>
  <c r="CH191"/>
  <c r="CG191"/>
  <c r="CN191" s="1"/>
  <c r="CN10" s="1"/>
  <c r="CF191"/>
  <c r="CE191"/>
  <c r="CD191"/>
  <c r="BW191"/>
  <c r="BT191"/>
  <c r="BT10" s="1"/>
  <c r="BS191"/>
  <c r="BM191"/>
  <c r="BK191"/>
  <c r="BJ191"/>
  <c r="BI191"/>
  <c r="BE191"/>
  <c r="BD191"/>
  <c r="BD10" s="1"/>
  <c r="BB191"/>
  <c r="BA191"/>
  <c r="AZ191"/>
  <c r="AY191"/>
  <c r="AY10" s="1"/>
  <c r="AX191"/>
  <c r="AW191"/>
  <c r="AV191"/>
  <c r="BO191" s="1"/>
  <c r="AU191"/>
  <c r="AT191"/>
  <c r="AS191"/>
  <c r="BL191" s="1"/>
  <c r="AP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S190"/>
  <c r="BR190"/>
  <c r="BQ190"/>
  <c r="BK190"/>
  <c r="BJ190"/>
  <c r="BB190"/>
  <c r="BA190"/>
  <c r="AZ190"/>
  <c r="AY190"/>
  <c r="AX190"/>
  <c r="AW190"/>
  <c r="G184"/>
  <c r="E183" s="1"/>
  <c r="E184"/>
  <c r="B184"/>
  <c r="AM183"/>
  <c r="AL183"/>
  <c r="AC183"/>
  <c r="G183"/>
  <c r="B183"/>
  <c r="BF191" s="1"/>
  <c r="AM182"/>
  <c r="AL182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J180"/>
  <c r="B180"/>
  <c r="BM178"/>
  <c r="BL178"/>
  <c r="CA178" s="1"/>
  <c r="AV178"/>
  <c r="BO178" s="1"/>
  <c r="AT178"/>
  <c r="AS178"/>
  <c r="CR171"/>
  <c r="CK171"/>
  <c r="CF171"/>
  <c r="CE171"/>
  <c r="CD171"/>
  <c r="BZ171"/>
  <c r="BW171"/>
  <c r="BN171"/>
  <c r="BM171"/>
  <c r="BK171"/>
  <c r="BJ171"/>
  <c r="BI171"/>
  <c r="BI9" s="1"/>
  <c r="BE171"/>
  <c r="BD171"/>
  <c r="BB171"/>
  <c r="BA171"/>
  <c r="AZ171"/>
  <c r="AY171"/>
  <c r="AX171"/>
  <c r="AW171"/>
  <c r="AV171"/>
  <c r="BO171" s="1"/>
  <c r="BO9" s="1"/>
  <c r="AU171"/>
  <c r="AT171"/>
  <c r="AS171"/>
  <c r="BL171" s="1"/>
  <c r="AP171"/>
  <c r="CR9" s="1"/>
  <c r="CX170"/>
  <c r="CW170"/>
  <c r="CV170"/>
  <c r="CU170"/>
  <c r="CT170"/>
  <c r="CS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G164"/>
  <c r="E163" s="1"/>
  <c r="E164"/>
  <c r="B164"/>
  <c r="AC163"/>
  <c r="G163"/>
  <c r="B163"/>
  <c r="BF171" s="1"/>
  <c r="AM162"/>
  <c r="AL162"/>
  <c r="AK162"/>
  <c r="AJ162"/>
  <c r="Z162"/>
  <c r="G162"/>
  <c r="E162"/>
  <c r="BP171" s="1"/>
  <c r="D162"/>
  <c r="C162"/>
  <c r="A162"/>
  <c r="AM161"/>
  <c r="AL161"/>
  <c r="AK161"/>
  <c r="AJ161"/>
  <c r="G161"/>
  <c r="B161"/>
  <c r="BJ160"/>
  <c r="B160"/>
  <c r="BQ160" s="1"/>
  <c r="CA158"/>
  <c r="BM158"/>
  <c r="BL158"/>
  <c r="AV158"/>
  <c r="BO158" s="1"/>
  <c r="AT158"/>
  <c r="AS158"/>
  <c r="CR151"/>
  <c r="CK151"/>
  <c r="CH151"/>
  <c r="CG151"/>
  <c r="CN151" s="1"/>
  <c r="CN8" s="1"/>
  <c r="CF151"/>
  <c r="CE151"/>
  <c r="CD151"/>
  <c r="BW151"/>
  <c r="BT151"/>
  <c r="BT8" s="1"/>
  <c r="BS151"/>
  <c r="BS8" s="1"/>
  <c r="BM151"/>
  <c r="BK151"/>
  <c r="BJ151"/>
  <c r="BJ8" s="1"/>
  <c r="BI151"/>
  <c r="BE151"/>
  <c r="BD151"/>
  <c r="BB151"/>
  <c r="BA151"/>
  <c r="AZ151"/>
  <c r="AY151"/>
  <c r="AY8" s="1"/>
  <c r="AX151"/>
  <c r="AW151"/>
  <c r="AV151"/>
  <c r="BO151" s="1"/>
  <c r="AU151"/>
  <c r="AT151"/>
  <c r="AS151"/>
  <c r="BL151" s="1"/>
  <c r="AP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S150"/>
  <c r="BR150"/>
  <c r="BQ150"/>
  <c r="BK150"/>
  <c r="BJ150"/>
  <c r="BB150"/>
  <c r="BA150"/>
  <c r="AZ150"/>
  <c r="AY150"/>
  <c r="AX150"/>
  <c r="AW150"/>
  <c r="G144"/>
  <c r="E143" s="1"/>
  <c r="E144"/>
  <c r="B144"/>
  <c r="AM143"/>
  <c r="AL143"/>
  <c r="AC143"/>
  <c r="G143"/>
  <c r="B143"/>
  <c r="BF151" s="1"/>
  <c r="BF8" s="1"/>
  <c r="AM142"/>
  <c r="AL142"/>
  <c r="AK142"/>
  <c r="AJ142"/>
  <c r="Z142"/>
  <c r="G142"/>
  <c r="E142"/>
  <c r="BP151" s="1"/>
  <c r="D142"/>
  <c r="C142"/>
  <c r="A142"/>
  <c r="AM141"/>
  <c r="AL141"/>
  <c r="AK141"/>
  <c r="AJ141"/>
  <c r="G141"/>
  <c r="B141"/>
  <c r="B140"/>
  <c r="BJ140" s="1"/>
  <c r="BM138"/>
  <c r="BL138"/>
  <c r="CA138" s="1"/>
  <c r="AV138"/>
  <c r="BO138" s="1"/>
  <c r="AT138"/>
  <c r="AS138"/>
  <c r="CR131"/>
  <c r="CK131"/>
  <c r="CF131"/>
  <c r="CE131"/>
  <c r="CD131"/>
  <c r="BW131"/>
  <c r="BN131"/>
  <c r="BM131"/>
  <c r="BK131"/>
  <c r="BJ131"/>
  <c r="BI131"/>
  <c r="BI7" s="1"/>
  <c r="BE131"/>
  <c r="BE7" s="1"/>
  <c r="BD131"/>
  <c r="BB131"/>
  <c r="BA131"/>
  <c r="AZ131"/>
  <c r="AY131"/>
  <c r="AX131"/>
  <c r="AW131"/>
  <c r="AV131"/>
  <c r="BO131" s="1"/>
  <c r="AU131"/>
  <c r="AT131"/>
  <c r="AS131"/>
  <c r="BL131" s="1"/>
  <c r="AP131"/>
  <c r="CY7" s="1"/>
  <c r="CX130"/>
  <c r="CW130"/>
  <c r="CV130"/>
  <c r="CU130"/>
  <c r="CT130"/>
  <c r="CS130"/>
  <c r="CP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G124"/>
  <c r="E123" s="1"/>
  <c r="E124"/>
  <c r="B124"/>
  <c r="AC123"/>
  <c r="G123"/>
  <c r="B123"/>
  <c r="BF131" s="1"/>
  <c r="AM122"/>
  <c r="AL122"/>
  <c r="AK122"/>
  <c r="AJ122"/>
  <c r="Z122"/>
  <c r="G122"/>
  <c r="E122"/>
  <c r="BP131" s="1"/>
  <c r="D122"/>
  <c r="C122"/>
  <c r="A122"/>
  <c r="AM121"/>
  <c r="AL121"/>
  <c r="AK121"/>
  <c r="AJ121"/>
  <c r="G121"/>
  <c r="B121"/>
  <c r="CL120"/>
  <c r="BQ120"/>
  <c r="B120"/>
  <c r="BJ120" s="1"/>
  <c r="CA118"/>
  <c r="BM118"/>
  <c r="BL118"/>
  <c r="AV118"/>
  <c r="BO118" s="1"/>
  <c r="AT118"/>
  <c r="AS118"/>
  <c r="CR111"/>
  <c r="CK111"/>
  <c r="CH111"/>
  <c r="CG111"/>
  <c r="CN111" s="1"/>
  <c r="CN6" s="1"/>
  <c r="CF111"/>
  <c r="CE111"/>
  <c r="CD111"/>
  <c r="BW111"/>
  <c r="BT111"/>
  <c r="BT6" s="1"/>
  <c r="BS111"/>
  <c r="BS6" s="1"/>
  <c r="BM111"/>
  <c r="BK111"/>
  <c r="BJ111"/>
  <c r="BJ6" s="1"/>
  <c r="BI111"/>
  <c r="BE111"/>
  <c r="BD111"/>
  <c r="BB111"/>
  <c r="BA111"/>
  <c r="AZ111"/>
  <c r="AY111"/>
  <c r="AY6" s="1"/>
  <c r="AX111"/>
  <c r="AW111"/>
  <c r="AV111"/>
  <c r="BO111" s="1"/>
  <c r="AU111"/>
  <c r="AT111"/>
  <c r="AS111"/>
  <c r="BL111" s="1"/>
  <c r="AP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S110"/>
  <c r="BR110"/>
  <c r="BQ110"/>
  <c r="BK110"/>
  <c r="BJ110"/>
  <c r="BB110"/>
  <c r="BA110"/>
  <c r="AZ110"/>
  <c r="AY110"/>
  <c r="AX110"/>
  <c r="AW110"/>
  <c r="G104"/>
  <c r="E103" s="1"/>
  <c r="E104"/>
  <c r="B104"/>
  <c r="AM103"/>
  <c r="AC103"/>
  <c r="G103"/>
  <c r="B103"/>
  <c r="BF111" s="1"/>
  <c r="BF6" s="1"/>
  <c r="AM102"/>
  <c r="AL102"/>
  <c r="AK102"/>
  <c r="AJ102"/>
  <c r="Z102"/>
  <c r="G102"/>
  <c r="E102"/>
  <c r="BP111" s="1"/>
  <c r="D102"/>
  <c r="C102"/>
  <c r="A102"/>
  <c r="AM101"/>
  <c r="AL101"/>
  <c r="AK101"/>
  <c r="AJ101"/>
  <c r="G101"/>
  <c r="B101"/>
  <c r="B100"/>
  <c r="BQ100" s="1"/>
  <c r="BM98"/>
  <c r="BL98"/>
  <c r="CA98" s="1"/>
  <c r="AV98"/>
  <c r="BO98" s="1"/>
  <c r="AT98"/>
  <c r="AS98"/>
  <c r="CR91"/>
  <c r="CK91"/>
  <c r="CF91"/>
  <c r="CE91"/>
  <c r="CD91"/>
  <c r="BW91"/>
  <c r="BN91"/>
  <c r="BM91"/>
  <c r="BK91"/>
  <c r="BJ91"/>
  <c r="BI91"/>
  <c r="BE91"/>
  <c r="BE5" s="1"/>
  <c r="BD91"/>
  <c r="BB91"/>
  <c r="BA91"/>
  <c r="AZ91"/>
  <c r="AY91"/>
  <c r="AX91"/>
  <c r="AW91"/>
  <c r="AV91"/>
  <c r="BO91" s="1"/>
  <c r="AU91"/>
  <c r="AT91"/>
  <c r="AS91"/>
  <c r="BL91" s="1"/>
  <c r="AP91"/>
  <c r="CY5" s="1"/>
  <c r="CX90"/>
  <c r="CW90"/>
  <c r="CV90"/>
  <c r="CU90"/>
  <c r="CT90"/>
  <c r="CS90"/>
  <c r="CP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G84"/>
  <c r="E83" s="1"/>
  <c r="E84"/>
  <c r="B84"/>
  <c r="AC83"/>
  <c r="G83"/>
  <c r="B83"/>
  <c r="BF91" s="1"/>
  <c r="AM82"/>
  <c r="AL82"/>
  <c r="AK82"/>
  <c r="AJ82"/>
  <c r="Z82"/>
  <c r="G82"/>
  <c r="E82"/>
  <c r="BP91" s="1"/>
  <c r="D82"/>
  <c r="C82"/>
  <c r="A82"/>
  <c r="AM81"/>
  <c r="AL81"/>
  <c r="AK81"/>
  <c r="AJ81"/>
  <c r="G81"/>
  <c r="B81"/>
  <c r="B80"/>
  <c r="BJ80" s="1"/>
  <c r="BM78"/>
  <c r="BL78"/>
  <c r="CA78" s="1"/>
  <c r="AV78"/>
  <c r="BO78" s="1"/>
  <c r="AT78"/>
  <c r="AS78"/>
  <c r="CR71"/>
  <c r="CF71"/>
  <c r="CE71"/>
  <c r="BK71"/>
  <c r="BJ71"/>
  <c r="BJ4" s="1"/>
  <c r="BI71"/>
  <c r="BD71"/>
  <c r="BD4" s="1"/>
  <c r="BB71"/>
  <c r="BB4" s="1"/>
  <c r="BA71"/>
  <c r="AZ71"/>
  <c r="AY71"/>
  <c r="AY4" s="1"/>
  <c r="AY35" s="1" a="1"/>
  <c r="AY35" s="1"/>
  <c r="AX71"/>
  <c r="AX4" s="1"/>
  <c r="AW71"/>
  <c r="AU71"/>
  <c r="AP71"/>
  <c r="CD4" s="1"/>
  <c r="CX70"/>
  <c r="CW70"/>
  <c r="CV70"/>
  <c r="CU70"/>
  <c r="CT70"/>
  <c r="CS70"/>
  <c r="CM70"/>
  <c r="CL70"/>
  <c r="CJ70"/>
  <c r="CF70"/>
  <c r="CE70"/>
  <c r="CC70"/>
  <c r="CB70"/>
  <c r="CA70"/>
  <c r="BZ70"/>
  <c r="BY70"/>
  <c r="BX70"/>
  <c r="BR70"/>
  <c r="BQ70"/>
  <c r="BK70"/>
  <c r="BJ70"/>
  <c r="BB70"/>
  <c r="BA70"/>
  <c r="AZ70"/>
  <c r="AY70"/>
  <c r="AX70"/>
  <c r="AW70"/>
  <c r="AT70"/>
  <c r="G64"/>
  <c r="E63" s="1"/>
  <c r="E64"/>
  <c r="B64"/>
  <c r="AC63"/>
  <c r="G63"/>
  <c r="AV71" s="1"/>
  <c r="B63"/>
  <c r="BF71" s="1"/>
  <c r="G62"/>
  <c r="E62"/>
  <c r="CD71" s="1"/>
  <c r="D62"/>
  <c r="BE71" s="1"/>
  <c r="BE4" s="1"/>
  <c r="C62"/>
  <c r="AM61"/>
  <c r="AL61"/>
  <c r="AK61"/>
  <c r="AJ61"/>
  <c r="G61"/>
  <c r="B61"/>
  <c r="B5" s="1"/>
  <c r="AQ60"/>
  <c r="B60"/>
  <c r="CS60" s="1"/>
  <c r="CA58"/>
  <c r="BL58"/>
  <c r="AV58"/>
  <c r="BO58" s="1"/>
  <c r="AT58"/>
  <c r="BM58" s="1"/>
  <c r="AS58"/>
  <c r="CF51"/>
  <c r="CE51"/>
  <c r="BK51"/>
  <c r="BJ51"/>
  <c r="BI51"/>
  <c r="BD51"/>
  <c r="BD3" s="1"/>
  <c r="BB51"/>
  <c r="BA51"/>
  <c r="AZ51"/>
  <c r="AY51"/>
  <c r="AY3" s="1"/>
  <c r="AX51"/>
  <c r="AW51"/>
  <c r="AW3" s="1"/>
  <c r="AU51"/>
  <c r="CX50"/>
  <c r="CW50"/>
  <c r="CV50"/>
  <c r="CU50"/>
  <c r="CT50"/>
  <c r="CS50"/>
  <c r="CO50"/>
  <c r="CN50"/>
  <c r="CM50"/>
  <c r="CL50"/>
  <c r="CJ50"/>
  <c r="CI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T50"/>
  <c r="AS50"/>
  <c r="G44"/>
  <c r="E43" s="1"/>
  <c r="AL43" s="1"/>
  <c r="E44"/>
  <c r="B44"/>
  <c r="AC43"/>
  <c r="G43"/>
  <c r="B43"/>
  <c r="BF51" s="1"/>
  <c r="BF33" s="1"/>
  <c r="BF34" s="1"/>
  <c r="G42"/>
  <c r="E42"/>
  <c r="CK51" s="1"/>
  <c r="D42"/>
  <c r="C42"/>
  <c r="AM41"/>
  <c r="AL41"/>
  <c r="AK41"/>
  <c r="AJ41"/>
  <c r="G41"/>
  <c r="B41"/>
  <c r="B4" s="1"/>
  <c r="B40"/>
  <c r="CT39"/>
  <c r="CM39"/>
  <c r="CF39"/>
  <c r="BY39"/>
  <c r="BR39"/>
  <c r="BK39"/>
  <c r="BG39"/>
  <c r="D39" s="1"/>
  <c r="AX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F34"/>
  <c r="BY34"/>
  <c r="BR34"/>
  <c r="AI18" s="1"/>
  <c r="BK34"/>
  <c r="BG34"/>
  <c r="AX34"/>
  <c r="D34"/>
  <c r="CX33"/>
  <c r="CW33"/>
  <c r="CV33"/>
  <c r="CU33"/>
  <c r="CS33"/>
  <c r="CS34" s="1"/>
  <c r="CO33"/>
  <c r="CN33"/>
  <c r="CJ33"/>
  <c r="CD33"/>
  <c r="CC33"/>
  <c r="CB33"/>
  <c r="CA33"/>
  <c r="BZ33"/>
  <c r="BY33"/>
  <c r="BT33"/>
  <c r="BI33"/>
  <c r="BH33"/>
  <c r="BB33"/>
  <c r="BA33"/>
  <c r="AS33"/>
  <c r="K33"/>
  <c r="J33"/>
  <c r="I33"/>
  <c r="H33"/>
  <c r="E33"/>
  <c r="AM17"/>
  <c r="AL17"/>
  <c r="AK17"/>
  <c r="AJ17"/>
  <c r="F11"/>
  <c r="E11"/>
  <c r="D11"/>
  <c r="B11"/>
  <c r="CY10"/>
  <c r="CT10"/>
  <c r="CS10"/>
  <c r="CR10"/>
  <c r="CM10"/>
  <c r="CL10"/>
  <c r="CK10"/>
  <c r="CF10"/>
  <c r="CE10"/>
  <c r="CD10"/>
  <c r="BY10"/>
  <c r="BX10"/>
  <c r="BW10"/>
  <c r="BS10"/>
  <c r="BR10"/>
  <c r="BQ10"/>
  <c r="BP10"/>
  <c r="BO10"/>
  <c r="BM10"/>
  <c r="BL10"/>
  <c r="BK10"/>
  <c r="BJ10"/>
  <c r="BI10"/>
  <c r="BG10"/>
  <c r="BF10"/>
  <c r="BE10"/>
  <c r="BC10"/>
  <c r="BB10"/>
  <c r="BA10"/>
  <c r="AZ10"/>
  <c r="AX10"/>
  <c r="AW10"/>
  <c r="AV10"/>
  <c r="AT10"/>
  <c r="AS10"/>
  <c r="AR10"/>
  <c r="AQ10"/>
  <c r="AP10"/>
  <c r="F10"/>
  <c r="E10"/>
  <c r="D10"/>
  <c r="C10"/>
  <c r="B10"/>
  <c r="CT9"/>
  <c r="CS9"/>
  <c r="CM9"/>
  <c r="CL9"/>
  <c r="CK9"/>
  <c r="CF9"/>
  <c r="CE9"/>
  <c r="CD9"/>
  <c r="BZ9"/>
  <c r="BY9"/>
  <c r="BX9"/>
  <c r="BR9"/>
  <c r="BQ9"/>
  <c r="BN9"/>
  <c r="BM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AN9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9"/>
  <c r="E9"/>
  <c r="D9"/>
  <c r="C9"/>
  <c r="B9"/>
  <c r="CY8"/>
  <c r="CT8"/>
  <c r="CS8"/>
  <c r="CR8"/>
  <c r="CM8"/>
  <c r="CL8"/>
  <c r="CK8"/>
  <c r="CG8"/>
  <c r="CF8"/>
  <c r="CE8"/>
  <c r="CD8"/>
  <c r="BY8"/>
  <c r="BX8"/>
  <c r="BW8"/>
  <c r="BR8"/>
  <c r="BQ8"/>
  <c r="BP8"/>
  <c r="BO8"/>
  <c r="BM8"/>
  <c r="BL8"/>
  <c r="BK8"/>
  <c r="BI8"/>
  <c r="BG8"/>
  <c r="BE8"/>
  <c r="BD8"/>
  <c r="BC8"/>
  <c r="BB8"/>
  <c r="BA8"/>
  <c r="AZ8"/>
  <c r="AX8"/>
  <c r="AW8"/>
  <c r="AV8"/>
  <c r="AT8"/>
  <c r="AS8"/>
  <c r="AR8"/>
  <c r="AQ8"/>
  <c r="AP8"/>
  <c r="F8"/>
  <c r="E8"/>
  <c r="D8"/>
  <c r="C8"/>
  <c r="B8"/>
  <c r="CT7"/>
  <c r="CS7"/>
  <c r="CR7"/>
  <c r="CM7"/>
  <c r="CL7"/>
  <c r="CK7"/>
  <c r="CF7"/>
  <c r="CE7"/>
  <c r="BY7"/>
  <c r="BX7"/>
  <c r="BR7"/>
  <c r="BQ7"/>
  <c r="BP7"/>
  <c r="BM7"/>
  <c r="BK7"/>
  <c r="BJ7"/>
  <c r="BG7"/>
  <c r="BF7"/>
  <c r="BD7"/>
  <c r="BC7"/>
  <c r="BB7"/>
  <c r="BA7"/>
  <c r="AZ7"/>
  <c r="AY7"/>
  <c r="AX7"/>
  <c r="AW7"/>
  <c r="AV7"/>
  <c r="AU7"/>
  <c r="AT7"/>
  <c r="AS7"/>
  <c r="AR7"/>
  <c r="AQ7"/>
  <c r="F7"/>
  <c r="E7"/>
  <c r="D7"/>
  <c r="C7"/>
  <c r="B7"/>
  <c r="CY6"/>
  <c r="CT6"/>
  <c r="CS6"/>
  <c r="CR6"/>
  <c r="CM6"/>
  <c r="CL6"/>
  <c r="CK6"/>
  <c r="CG6"/>
  <c r="CF6"/>
  <c r="CE6"/>
  <c r="CD6"/>
  <c r="BY6"/>
  <c r="BX6"/>
  <c r="BW6"/>
  <c r="BR6"/>
  <c r="BQ6"/>
  <c r="BP6"/>
  <c r="BO6"/>
  <c r="BM6"/>
  <c r="BL6"/>
  <c r="BK6"/>
  <c r="BI6"/>
  <c r="BG6"/>
  <c r="BE6"/>
  <c r="BD6"/>
  <c r="BC6"/>
  <c r="BB6"/>
  <c r="BA6"/>
  <c r="AZ6"/>
  <c r="AX6"/>
  <c r="AW6"/>
  <c r="AV6"/>
  <c r="AT6"/>
  <c r="AS6"/>
  <c r="AR6"/>
  <c r="AQ6"/>
  <c r="AP6"/>
  <c r="F6"/>
  <c r="E6"/>
  <c r="D6"/>
  <c r="C6"/>
  <c r="B6"/>
  <c r="CT5"/>
  <c r="CS5"/>
  <c r="CR5"/>
  <c r="CM5"/>
  <c r="CL5"/>
  <c r="CK5"/>
  <c r="CF5"/>
  <c r="CE5"/>
  <c r="BY5"/>
  <c r="BX5"/>
  <c r="BR5"/>
  <c r="BQ5"/>
  <c r="BP5"/>
  <c r="BM5"/>
  <c r="BK5"/>
  <c r="BJ5"/>
  <c r="BI5"/>
  <c r="BG5"/>
  <c r="BF5"/>
  <c r="BD5"/>
  <c r="BC5"/>
  <c r="BB5"/>
  <c r="BA5"/>
  <c r="AZ5"/>
  <c r="AY5"/>
  <c r="AX5"/>
  <c r="AW5"/>
  <c r="AV5"/>
  <c r="AU5"/>
  <c r="AT5"/>
  <c r="AS5"/>
  <c r="AR5"/>
  <c r="AQ5"/>
  <c r="F5"/>
  <c r="E5"/>
  <c r="C5"/>
  <c r="CT4"/>
  <c r="CS4"/>
  <c r="CM4"/>
  <c r="CL4"/>
  <c r="CF4"/>
  <c r="CE4"/>
  <c r="BY4"/>
  <c r="BX4"/>
  <c r="BW4"/>
  <c r="BR4"/>
  <c r="BQ4"/>
  <c r="BK4"/>
  <c r="BI4"/>
  <c r="BF4"/>
  <c r="BC4"/>
  <c r="BA4"/>
  <c r="AZ4"/>
  <c r="AW4"/>
  <c r="AR4"/>
  <c r="AQ4"/>
  <c r="AN4"/>
  <c r="AN5" s="1"/>
  <c r="AN6" s="1"/>
  <c r="AN7" s="1"/>
  <c r="AN8" s="1"/>
  <c r="F4"/>
  <c r="E4"/>
  <c r="C4"/>
  <c r="CT3"/>
  <c r="CT33" s="1"/>
  <c r="CS3"/>
  <c r="CM3"/>
  <c r="CM33" s="1"/>
  <c r="CL3"/>
  <c r="CL33" s="1"/>
  <c r="CL34" s="1"/>
  <c r="CF3"/>
  <c r="CF33" s="1"/>
  <c r="CE3"/>
  <c r="CE33" s="1"/>
  <c r="CE34" s="1"/>
  <c r="BY3"/>
  <c r="BX3"/>
  <c r="BX33" s="1"/>
  <c r="BX34" s="1"/>
  <c r="BR3"/>
  <c r="BR33" s="1"/>
  <c r="AI17" s="1"/>
  <c r="BQ3"/>
  <c r="BQ33" s="1"/>
  <c r="BQ34" s="1"/>
  <c r="BK3"/>
  <c r="BK33" s="1"/>
  <c r="G33" s="1"/>
  <c r="BJ3"/>
  <c r="BJ33" s="1"/>
  <c r="BI3"/>
  <c r="BC3"/>
  <c r="BB3"/>
  <c r="BA3"/>
  <c r="AZ3"/>
  <c r="AX3"/>
  <c r="AR3"/>
  <c r="AQ3"/>
  <c r="B2"/>
  <c r="B32" s="1"/>
  <c r="CT1"/>
  <c r="CS1"/>
  <c r="CQ1"/>
  <c r="CP1"/>
  <c r="CO1"/>
  <c r="CN1"/>
  <c r="CM1"/>
  <c r="CL1"/>
  <c r="CK1"/>
  <c r="CJ1"/>
  <c r="CJ190" s="1"/>
  <c r="CI1"/>
  <c r="CH1"/>
  <c r="CG1"/>
  <c r="CF1"/>
  <c r="CE1"/>
  <c r="BY1"/>
  <c r="BX1"/>
  <c r="BV1"/>
  <c r="BU1"/>
  <c r="BT1"/>
  <c r="BS1"/>
  <c r="BR1"/>
  <c r="BQ1"/>
  <c r="BP1"/>
  <c r="BO1"/>
  <c r="BN1"/>
  <c r="BM1"/>
  <c r="BL1"/>
  <c r="BL50" s="1"/>
  <c r="BK1"/>
  <c r="BJ1"/>
  <c r="BB1"/>
  <c r="BA1"/>
  <c r="AZ1"/>
  <c r="AZ33" s="1"/>
  <c r="AY1"/>
  <c r="AY33" s="1"/>
  <c r="AX1"/>
  <c r="AW1"/>
  <c r="AV1"/>
  <c r="AU1"/>
  <c r="AT1"/>
  <c r="AT33" s="1"/>
  <c r="AS1"/>
  <c r="AA1"/>
  <c r="Z1"/>
  <c r="E1"/>
  <c r="AP1" s="1"/>
  <c r="D1"/>
  <c r="C1"/>
  <c r="B1"/>
  <c r="B33" s="1"/>
  <c r="BJ200" i="62"/>
  <c r="AQ200"/>
  <c r="B200"/>
  <c r="BX200" s="1"/>
  <c r="CA198"/>
  <c r="BL198"/>
  <c r="AV198"/>
  <c r="BO198" s="1"/>
  <c r="AT198"/>
  <c r="BM198" s="1"/>
  <c r="AS198"/>
  <c r="CJ191"/>
  <c r="CQ191" s="1"/>
  <c r="CG191"/>
  <c r="CN191" s="1"/>
  <c r="CF191"/>
  <c r="CE191"/>
  <c r="BS191"/>
  <c r="BL191"/>
  <c r="BK191"/>
  <c r="BJ191"/>
  <c r="BI191"/>
  <c r="BD191"/>
  <c r="BD10" s="1"/>
  <c r="BB191"/>
  <c r="BA191"/>
  <c r="AZ191"/>
  <c r="AY191"/>
  <c r="AY10" s="1"/>
  <c r="AX191"/>
  <c r="AW191"/>
  <c r="AV191"/>
  <c r="BO191" s="1"/>
  <c r="AR189" s="1"/>
  <c r="AU191"/>
  <c r="BN191" s="1"/>
  <c r="AT191"/>
  <c r="BM191" s="1"/>
  <c r="AS191"/>
  <c r="CX190"/>
  <c r="CW190"/>
  <c r="CV190"/>
  <c r="CU190"/>
  <c r="CT190"/>
  <c r="CS190"/>
  <c r="CO190"/>
  <c r="CM190"/>
  <c r="CL190"/>
  <c r="CJ190"/>
  <c r="CF190"/>
  <c r="CE190"/>
  <c r="CC190"/>
  <c r="CB190"/>
  <c r="CA190"/>
  <c r="BZ190"/>
  <c r="BY190"/>
  <c r="BX190"/>
  <c r="BU190"/>
  <c r="BR190"/>
  <c r="BQ190"/>
  <c r="BL190"/>
  <c r="BK190"/>
  <c r="BJ190"/>
  <c r="BB190"/>
  <c r="BA190"/>
  <c r="AZ190"/>
  <c r="AY190"/>
  <c r="AX190"/>
  <c r="AW190"/>
  <c r="AT190"/>
  <c r="G184"/>
  <c r="E184"/>
  <c r="E183" s="1"/>
  <c r="B184"/>
  <c r="AC183"/>
  <c r="G183"/>
  <c r="B183"/>
  <c r="BF191" s="1"/>
  <c r="AM182"/>
  <c r="AL182"/>
  <c r="AK182"/>
  <c r="AJ182"/>
  <c r="G182"/>
  <c r="E182"/>
  <c r="D182"/>
  <c r="BE191" s="1"/>
  <c r="C182"/>
  <c r="A182"/>
  <c r="AM181"/>
  <c r="AL181"/>
  <c r="AK181"/>
  <c r="AJ181"/>
  <c r="G181"/>
  <c r="B181"/>
  <c r="B180"/>
  <c r="BX180" s="1"/>
  <c r="BO178"/>
  <c r="AV178"/>
  <c r="AT178"/>
  <c r="BM178" s="1"/>
  <c r="AS178"/>
  <c r="BL178" s="1"/>
  <c r="CA178" s="1"/>
  <c r="CK171"/>
  <c r="CF171"/>
  <c r="CF9" s="1"/>
  <c r="CE171"/>
  <c r="BW171"/>
  <c r="BM171"/>
  <c r="BL171"/>
  <c r="CG171" s="1"/>
  <c r="BK171"/>
  <c r="BJ171"/>
  <c r="BI171"/>
  <c r="BI9" s="1"/>
  <c r="BG171"/>
  <c r="BD171"/>
  <c r="BB171"/>
  <c r="BA171"/>
  <c r="AZ171"/>
  <c r="AY171"/>
  <c r="AX171"/>
  <c r="AW171"/>
  <c r="AV171"/>
  <c r="BO171" s="1"/>
  <c r="AR169" s="1"/>
  <c r="AU171"/>
  <c r="BN171" s="1"/>
  <c r="AT171"/>
  <c r="AS171"/>
  <c r="CX170"/>
  <c r="CW170"/>
  <c r="CV170"/>
  <c r="CU170"/>
  <c r="CT170"/>
  <c r="CS170"/>
  <c r="CN170"/>
  <c r="CM170"/>
  <c r="CL170"/>
  <c r="CF170"/>
  <c r="CE170"/>
  <c r="CC170"/>
  <c r="CB170"/>
  <c r="CA170"/>
  <c r="BZ170"/>
  <c r="BY170"/>
  <c r="BX170"/>
  <c r="BR170"/>
  <c r="BQ170"/>
  <c r="BM170"/>
  <c r="BK170"/>
  <c r="BJ170"/>
  <c r="BB170"/>
  <c r="BA170"/>
  <c r="AZ170"/>
  <c r="AY170"/>
  <c r="AX170"/>
  <c r="AW170"/>
  <c r="AS170"/>
  <c r="G164"/>
  <c r="E164"/>
  <c r="B164"/>
  <c r="AL163"/>
  <c r="AC163"/>
  <c r="G163"/>
  <c r="E163"/>
  <c r="B163"/>
  <c r="BF171" s="1"/>
  <c r="AM162"/>
  <c r="AL162"/>
  <c r="AK162"/>
  <c r="AJ162"/>
  <c r="G162"/>
  <c r="E162"/>
  <c r="A162" s="1"/>
  <c r="D162"/>
  <c r="BE171" s="1"/>
  <c r="C162"/>
  <c r="AM161"/>
  <c r="AL161"/>
  <c r="AK161"/>
  <c r="AJ161"/>
  <c r="G161"/>
  <c r="B161"/>
  <c r="AQ160"/>
  <c r="B160"/>
  <c r="BX160" s="1"/>
  <c r="AV158"/>
  <c r="BO158" s="1"/>
  <c r="AT158"/>
  <c r="BM158" s="1"/>
  <c r="AS158"/>
  <c r="BL158" s="1"/>
  <c r="CA158" s="1"/>
  <c r="CJ151"/>
  <c r="CG151"/>
  <c r="CN151" s="1"/>
  <c r="CN8" s="1"/>
  <c r="CF151"/>
  <c r="CE151"/>
  <c r="BS151"/>
  <c r="BS8" s="1"/>
  <c r="BL151"/>
  <c r="BK151"/>
  <c r="BJ151"/>
  <c r="BI151"/>
  <c r="BD151"/>
  <c r="BB151"/>
  <c r="BB8" s="1"/>
  <c r="BA151"/>
  <c r="AZ151"/>
  <c r="AY151"/>
  <c r="AY8" s="1"/>
  <c r="AX151"/>
  <c r="AX8" s="1"/>
  <c r="AW151"/>
  <c r="AV151"/>
  <c r="BO151" s="1"/>
  <c r="AR149" s="1"/>
  <c r="AU151"/>
  <c r="AT151"/>
  <c r="AT8" s="1"/>
  <c r="AS151"/>
  <c r="CX150"/>
  <c r="CW150"/>
  <c r="CV150"/>
  <c r="CU150"/>
  <c r="CT150"/>
  <c r="CS150"/>
  <c r="CO150"/>
  <c r="CM150"/>
  <c r="CL150"/>
  <c r="CJ150"/>
  <c r="CF150"/>
  <c r="CE150"/>
  <c r="CC150"/>
  <c r="CB150"/>
  <c r="CA150"/>
  <c r="BZ150"/>
  <c r="BY150"/>
  <c r="BX150"/>
  <c r="BU150"/>
  <c r="BR150"/>
  <c r="BQ150"/>
  <c r="BL150"/>
  <c r="BK150"/>
  <c r="BJ150"/>
  <c r="BB150"/>
  <c r="BA150"/>
  <c r="AZ150"/>
  <c r="AY150"/>
  <c r="AX150"/>
  <c r="AW150"/>
  <c r="AT150"/>
  <c r="G144"/>
  <c r="E144"/>
  <c r="E143" s="1"/>
  <c r="B144"/>
  <c r="AC143"/>
  <c r="G143"/>
  <c r="B143"/>
  <c r="BF151" s="1"/>
  <c r="AM142"/>
  <c r="AL142"/>
  <c r="AK142"/>
  <c r="AJ142"/>
  <c r="G142"/>
  <c r="E142"/>
  <c r="D142"/>
  <c r="BE151" s="1"/>
  <c r="C142"/>
  <c r="A142"/>
  <c r="AM141"/>
  <c r="AL141"/>
  <c r="AK141"/>
  <c r="AJ141"/>
  <c r="G141"/>
  <c r="F9" s="1"/>
  <c r="B141"/>
  <c r="AQ140"/>
  <c r="B140"/>
  <c r="BX140" s="1"/>
  <c r="BO138"/>
  <c r="AV138"/>
  <c r="AT138"/>
  <c r="BM138" s="1"/>
  <c r="AS138"/>
  <c r="BL138" s="1"/>
  <c r="CA138" s="1"/>
  <c r="CK131"/>
  <c r="CF131"/>
  <c r="CF7" s="1"/>
  <c r="CE131"/>
  <c r="BW131"/>
  <c r="BM131"/>
  <c r="BL131"/>
  <c r="CG131" s="1"/>
  <c r="CN131" s="1"/>
  <c r="CN7" s="1"/>
  <c r="BK131"/>
  <c r="BJ131"/>
  <c r="BI131"/>
  <c r="BI7" s="1"/>
  <c r="BG131"/>
  <c r="BD131"/>
  <c r="BB131"/>
  <c r="BA131"/>
  <c r="AZ131"/>
  <c r="AY131"/>
  <c r="AX131"/>
  <c r="AW131"/>
  <c r="AV131"/>
  <c r="BO131" s="1"/>
  <c r="AR129" s="1"/>
  <c r="AU131"/>
  <c r="BN131" s="1"/>
  <c r="AT131"/>
  <c r="AS131"/>
  <c r="CX130"/>
  <c r="CW130"/>
  <c r="CV130"/>
  <c r="CU130"/>
  <c r="CT130"/>
  <c r="CS130"/>
  <c r="CN130"/>
  <c r="CM130"/>
  <c r="CL130"/>
  <c r="CF130"/>
  <c r="CE130"/>
  <c r="CC130"/>
  <c r="CB130"/>
  <c r="CA130"/>
  <c r="BZ130"/>
  <c r="BY130"/>
  <c r="BX130"/>
  <c r="BR130"/>
  <c r="BQ130"/>
  <c r="BM130"/>
  <c r="BK130"/>
  <c r="BJ130"/>
  <c r="BB130"/>
  <c r="BA130"/>
  <c r="AZ130"/>
  <c r="AY130"/>
  <c r="AX130"/>
  <c r="AW130"/>
  <c r="G124"/>
  <c r="E124"/>
  <c r="B124"/>
  <c r="AC123"/>
  <c r="G123"/>
  <c r="E123"/>
  <c r="B123"/>
  <c r="BF131" s="1"/>
  <c r="BF7" s="1"/>
  <c r="AM122"/>
  <c r="AL122"/>
  <c r="AK122"/>
  <c r="AJ122"/>
  <c r="G122"/>
  <c r="E122"/>
  <c r="A122" s="1"/>
  <c r="D122"/>
  <c r="BE131" s="1"/>
  <c r="C122"/>
  <c r="AM121"/>
  <c r="AL121"/>
  <c r="AK121"/>
  <c r="AJ121"/>
  <c r="G121"/>
  <c r="B121"/>
  <c r="B120"/>
  <c r="BX120" s="1"/>
  <c r="AV118"/>
  <c r="BO118" s="1"/>
  <c r="AT118"/>
  <c r="BM118" s="1"/>
  <c r="AS118"/>
  <c r="BL118" s="1"/>
  <c r="CA118" s="1"/>
  <c r="CJ111"/>
  <c r="CG111"/>
  <c r="CN111" s="1"/>
  <c r="CN6" s="1"/>
  <c r="CF111"/>
  <c r="CE111"/>
  <c r="BS111"/>
  <c r="BS6" s="1"/>
  <c r="BL111"/>
  <c r="BK111"/>
  <c r="BJ111"/>
  <c r="BI111"/>
  <c r="BD111"/>
  <c r="BD6" s="1"/>
  <c r="BB111"/>
  <c r="BB6" s="1"/>
  <c r="BA111"/>
  <c r="AZ111"/>
  <c r="AY111"/>
  <c r="AY6" s="1"/>
  <c r="AX111"/>
  <c r="AX6" s="1"/>
  <c r="AW111"/>
  <c r="AV111"/>
  <c r="BO111" s="1"/>
  <c r="AR109" s="1"/>
  <c r="AU111"/>
  <c r="AT111"/>
  <c r="AT6" s="1"/>
  <c r="AS111"/>
  <c r="CX110"/>
  <c r="CW110"/>
  <c r="CV110"/>
  <c r="CU110"/>
  <c r="CT110"/>
  <c r="CS110"/>
  <c r="CO110"/>
  <c r="CM110"/>
  <c r="CL110"/>
  <c r="CJ110"/>
  <c r="CF110"/>
  <c r="CE110"/>
  <c r="CC110"/>
  <c r="CB110"/>
  <c r="CA110"/>
  <c r="BZ110"/>
  <c r="BY110"/>
  <c r="BX110"/>
  <c r="BU110"/>
  <c r="BR110"/>
  <c r="BQ110"/>
  <c r="BL110"/>
  <c r="BK110"/>
  <c r="BJ110"/>
  <c r="BB110"/>
  <c r="BA110"/>
  <c r="AZ110"/>
  <c r="AY110"/>
  <c r="AX110"/>
  <c r="AW110"/>
  <c r="AT110"/>
  <c r="G104"/>
  <c r="E104"/>
  <c r="E103" s="1"/>
  <c r="B104"/>
  <c r="AC103"/>
  <c r="G103"/>
  <c r="B103"/>
  <c r="BF111" s="1"/>
  <c r="AM102"/>
  <c r="AL102"/>
  <c r="AK102"/>
  <c r="AJ102"/>
  <c r="G102"/>
  <c r="E102"/>
  <c r="D102"/>
  <c r="BE111" s="1"/>
  <c r="C102"/>
  <c r="A102"/>
  <c r="AM101"/>
  <c r="AL101"/>
  <c r="AK101"/>
  <c r="AJ101"/>
  <c r="G101"/>
  <c r="F7" s="1"/>
  <c r="B101"/>
  <c r="B100"/>
  <c r="BX100" s="1"/>
  <c r="BO98"/>
  <c r="AV98"/>
  <c r="AT98"/>
  <c r="BM98" s="1"/>
  <c r="AS98"/>
  <c r="BL98" s="1"/>
  <c r="CA98" s="1"/>
  <c r="CK91"/>
  <c r="CF91"/>
  <c r="CF5" s="1"/>
  <c r="CE91"/>
  <c r="BW91"/>
  <c r="BM91"/>
  <c r="BL91"/>
  <c r="CG91" s="1"/>
  <c r="CN91" s="1"/>
  <c r="CN5" s="1"/>
  <c r="BK91"/>
  <c r="BJ91"/>
  <c r="BI91"/>
  <c r="BG91"/>
  <c r="BD91"/>
  <c r="BB91"/>
  <c r="BA91"/>
  <c r="AZ91"/>
  <c r="AY91"/>
  <c r="AX91"/>
  <c r="AW91"/>
  <c r="AV91"/>
  <c r="BO91" s="1"/>
  <c r="AR89" s="1"/>
  <c r="AU91"/>
  <c r="BN91" s="1"/>
  <c r="AT91"/>
  <c r="AS91"/>
  <c r="CX90"/>
  <c r="CW90"/>
  <c r="CV90"/>
  <c r="CU90"/>
  <c r="CT90"/>
  <c r="CS90"/>
  <c r="CN90"/>
  <c r="CM90"/>
  <c r="CL90"/>
  <c r="CF90"/>
  <c r="CE90"/>
  <c r="CC90"/>
  <c r="CB90"/>
  <c r="CA90"/>
  <c r="BZ90"/>
  <c r="BY90"/>
  <c r="BX90"/>
  <c r="BR90"/>
  <c r="BQ90"/>
  <c r="BM90"/>
  <c r="BK90"/>
  <c r="BJ90"/>
  <c r="BB90"/>
  <c r="BA90"/>
  <c r="AZ90"/>
  <c r="AY90"/>
  <c r="AX90"/>
  <c r="AW90"/>
  <c r="AS90"/>
  <c r="G84"/>
  <c r="E84"/>
  <c r="B84"/>
  <c r="AL83"/>
  <c r="AC83"/>
  <c r="G83"/>
  <c r="E83"/>
  <c r="B83"/>
  <c r="BF91" s="1"/>
  <c r="BF5" s="1"/>
  <c r="AM82"/>
  <c r="AL82"/>
  <c r="AK82"/>
  <c r="AJ82"/>
  <c r="G82"/>
  <c r="E82"/>
  <c r="A82" s="1"/>
  <c r="D82"/>
  <c r="BE91" s="1"/>
  <c r="C82"/>
  <c r="AM81"/>
  <c r="AL81"/>
  <c r="AK81"/>
  <c r="AJ81"/>
  <c r="G81"/>
  <c r="B81"/>
  <c r="AQ80"/>
  <c r="B80"/>
  <c r="BX80" s="1"/>
  <c r="AV78"/>
  <c r="BO78" s="1"/>
  <c r="AT78"/>
  <c r="BM78" s="1"/>
  <c r="AS78"/>
  <c r="BL78" s="1"/>
  <c r="CA78" s="1"/>
  <c r="CK71"/>
  <c r="CF71"/>
  <c r="CE71"/>
  <c r="BK71"/>
  <c r="BJ71"/>
  <c r="BI71"/>
  <c r="BD71"/>
  <c r="BD4" s="1"/>
  <c r="BB71"/>
  <c r="BB4" s="1"/>
  <c r="BA71"/>
  <c r="AZ71"/>
  <c r="AY71"/>
  <c r="AY4" s="1"/>
  <c r="AX71"/>
  <c r="AX4" s="1"/>
  <c r="AW71"/>
  <c r="AT71"/>
  <c r="CX70"/>
  <c r="CW70"/>
  <c r="CV70"/>
  <c r="CU70"/>
  <c r="CT70"/>
  <c r="CS70"/>
  <c r="CN70"/>
  <c r="CM70"/>
  <c r="CL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AS70"/>
  <c r="G64"/>
  <c r="E63" s="1"/>
  <c r="AL63" s="1"/>
  <c r="E64"/>
  <c r="B64"/>
  <c r="AC63"/>
  <c r="G63"/>
  <c r="B63"/>
  <c r="BF71" s="1"/>
  <c r="BF4" s="1"/>
  <c r="G62"/>
  <c r="E62"/>
  <c r="BP71" s="1"/>
  <c r="D62"/>
  <c r="BE71" s="1"/>
  <c r="C62"/>
  <c r="AM61"/>
  <c r="AL61"/>
  <c r="AK61"/>
  <c r="AJ61"/>
  <c r="G61"/>
  <c r="B61"/>
  <c r="B60"/>
  <c r="CS60" s="1"/>
  <c r="BO58"/>
  <c r="BM58"/>
  <c r="AV58"/>
  <c r="AT58"/>
  <c r="AS58"/>
  <c r="BL58" s="1"/>
  <c r="CA58" s="1"/>
  <c r="CF51"/>
  <c r="CE51"/>
  <c r="BK51"/>
  <c r="BK3" s="1"/>
  <c r="BK33" s="1"/>
  <c r="G33" s="1"/>
  <c r="BJ51"/>
  <c r="BI51"/>
  <c r="BI3" s="1"/>
  <c r="BD51"/>
  <c r="BB51"/>
  <c r="BB3" s="1"/>
  <c r="BA51"/>
  <c r="BA3" s="1"/>
  <c r="AZ51"/>
  <c r="AZ3" s="1"/>
  <c r="AZ38" s="1"/>
  <c r="AY51"/>
  <c r="AY3" s="1"/>
  <c r="AX51"/>
  <c r="AX3" s="1"/>
  <c r="AW51"/>
  <c r="AW3" s="1"/>
  <c r="CX50"/>
  <c r="CW50"/>
  <c r="CV50"/>
  <c r="CU50"/>
  <c r="CT50"/>
  <c r="CS50"/>
  <c r="CN50"/>
  <c r="CM50"/>
  <c r="CL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V50"/>
  <c r="G44"/>
  <c r="E44"/>
  <c r="B44"/>
  <c r="AC43"/>
  <c r="G43"/>
  <c r="B43"/>
  <c r="BF51" s="1"/>
  <c r="G42"/>
  <c r="E42"/>
  <c r="CR51" s="1"/>
  <c r="D42"/>
  <c r="BE51" s="1"/>
  <c r="BE3" s="1"/>
  <c r="C42"/>
  <c r="C4" s="1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S34"/>
  <c r="CM34"/>
  <c r="CF34"/>
  <c r="BY34"/>
  <c r="BR34"/>
  <c r="BK34"/>
  <c r="BG34"/>
  <c r="AX34"/>
  <c r="D34"/>
  <c r="CX33"/>
  <c r="CW33"/>
  <c r="CV33"/>
  <c r="CU33"/>
  <c r="CL33"/>
  <c r="CL34" s="1"/>
  <c r="CH33"/>
  <c r="CC33"/>
  <c r="CB33"/>
  <c r="CA33"/>
  <c r="BZ33"/>
  <c r="BR33"/>
  <c r="BM33"/>
  <c r="BJ33"/>
  <c r="BI33"/>
  <c r="BH33"/>
  <c r="BB33"/>
  <c r="AY33"/>
  <c r="AV33"/>
  <c r="AS33"/>
  <c r="K33"/>
  <c r="J33"/>
  <c r="I33"/>
  <c r="H33"/>
  <c r="E33"/>
  <c r="B32"/>
  <c r="AI18"/>
  <c r="AM17"/>
  <c r="AL17"/>
  <c r="AK17"/>
  <c r="AJ17"/>
  <c r="AI17"/>
  <c r="F11"/>
  <c r="E11"/>
  <c r="D11"/>
  <c r="C11"/>
  <c r="B11"/>
  <c r="CT10"/>
  <c r="CS10"/>
  <c r="CQ10"/>
  <c r="CN10"/>
  <c r="CM10"/>
  <c r="CL10"/>
  <c r="CJ10"/>
  <c r="CF10"/>
  <c r="CE10"/>
  <c r="BY10"/>
  <c r="BX10"/>
  <c r="BS10"/>
  <c r="BR10"/>
  <c r="BQ10"/>
  <c r="BO10"/>
  <c r="BL10"/>
  <c r="BK10"/>
  <c r="BJ10"/>
  <c r="BI10"/>
  <c r="BF10"/>
  <c r="BE10"/>
  <c r="BC10"/>
  <c r="BB10"/>
  <c r="BA10"/>
  <c r="AZ10"/>
  <c r="AX10"/>
  <c r="AW10"/>
  <c r="AV10"/>
  <c r="AT10"/>
  <c r="AS10"/>
  <c r="AR10"/>
  <c r="AQ10"/>
  <c r="F10"/>
  <c r="E10"/>
  <c r="D10"/>
  <c r="C10"/>
  <c r="B10"/>
  <c r="CT9"/>
  <c r="CS9"/>
  <c r="CM9"/>
  <c r="CL9"/>
  <c r="CE9"/>
  <c r="BY9"/>
  <c r="BX9"/>
  <c r="BR9"/>
  <c r="BQ9"/>
  <c r="BO9"/>
  <c r="BN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D9"/>
  <c r="C9"/>
  <c r="B9"/>
  <c r="CT8"/>
  <c r="CS8"/>
  <c r="CM8"/>
  <c r="CL8"/>
  <c r="CG8"/>
  <c r="CF8"/>
  <c r="CE8"/>
  <c r="BY8"/>
  <c r="BX8"/>
  <c r="BR8"/>
  <c r="BQ8"/>
  <c r="BO8"/>
  <c r="BL8"/>
  <c r="BK8"/>
  <c r="BJ8"/>
  <c r="BI8"/>
  <c r="BF8"/>
  <c r="BE8"/>
  <c r="BD8"/>
  <c r="BC8"/>
  <c r="BA8"/>
  <c r="AZ8"/>
  <c r="AW8"/>
  <c r="AV8"/>
  <c r="AS8"/>
  <c r="AR8"/>
  <c r="AQ8"/>
  <c r="F8"/>
  <c r="E8"/>
  <c r="D8"/>
  <c r="C8"/>
  <c r="B8"/>
  <c r="CT7"/>
  <c r="CS7"/>
  <c r="CM7"/>
  <c r="CL7"/>
  <c r="CG7"/>
  <c r="CE7"/>
  <c r="BY7"/>
  <c r="BX7"/>
  <c r="BR7"/>
  <c r="BQ7"/>
  <c r="BN7"/>
  <c r="BM7"/>
  <c r="BK7"/>
  <c r="BJ7"/>
  <c r="BE7"/>
  <c r="BD7"/>
  <c r="BC7"/>
  <c r="BB7"/>
  <c r="BA7"/>
  <c r="AZ7"/>
  <c r="AY7"/>
  <c r="AX7"/>
  <c r="AW7"/>
  <c r="AV7"/>
  <c r="AU7"/>
  <c r="AT7"/>
  <c r="AS7"/>
  <c r="AR7"/>
  <c r="AQ7"/>
  <c r="D7"/>
  <c r="C7"/>
  <c r="B7"/>
  <c r="CT6"/>
  <c r="CS6"/>
  <c r="CM6"/>
  <c r="CL6"/>
  <c r="CG6"/>
  <c r="CF6"/>
  <c r="CE6"/>
  <c r="BY6"/>
  <c r="BX6"/>
  <c r="BR6"/>
  <c r="BQ6"/>
  <c r="BO6"/>
  <c r="BL6"/>
  <c r="BK6"/>
  <c r="BJ6"/>
  <c r="BI6"/>
  <c r="BF6"/>
  <c r="BE6"/>
  <c r="BC6"/>
  <c r="BA6"/>
  <c r="AZ6"/>
  <c r="AW6"/>
  <c r="AV6"/>
  <c r="AS6"/>
  <c r="AR6"/>
  <c r="AQ6"/>
  <c r="F6"/>
  <c r="E6"/>
  <c r="D6"/>
  <c r="C6"/>
  <c r="B6"/>
  <c r="CT5"/>
  <c r="CS5"/>
  <c r="CM5"/>
  <c r="CL5"/>
  <c r="CG5"/>
  <c r="CE5"/>
  <c r="BY5"/>
  <c r="BX5"/>
  <c r="BR5"/>
  <c r="BQ5"/>
  <c r="BN5"/>
  <c r="BM5"/>
  <c r="BK5"/>
  <c r="BJ5"/>
  <c r="BI5"/>
  <c r="BE5"/>
  <c r="BD5"/>
  <c r="BC5"/>
  <c r="BB5"/>
  <c r="BA5"/>
  <c r="AZ5"/>
  <c r="AY5"/>
  <c r="AX5"/>
  <c r="AW5"/>
  <c r="AV5"/>
  <c r="AU5"/>
  <c r="AT5"/>
  <c r="AS5"/>
  <c r="AR5"/>
  <c r="AQ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5"/>
  <c r="E5"/>
  <c r="D5"/>
  <c r="C5"/>
  <c r="B5"/>
  <c r="CT4"/>
  <c r="CS4"/>
  <c r="CM4"/>
  <c r="CL4"/>
  <c r="CF4"/>
  <c r="CE4"/>
  <c r="BY4"/>
  <c r="BX4"/>
  <c r="BR4"/>
  <c r="BQ4"/>
  <c r="BK4"/>
  <c r="BJ4"/>
  <c r="BI4"/>
  <c r="BE4"/>
  <c r="BC4"/>
  <c r="BA4"/>
  <c r="AZ4"/>
  <c r="AW4"/>
  <c r="AR4"/>
  <c r="AQ4"/>
  <c r="AN4"/>
  <c r="D4"/>
  <c r="CT3"/>
  <c r="CT33" s="1"/>
  <c r="CS3"/>
  <c r="CS33" s="1"/>
  <c r="CM3"/>
  <c r="CM33" s="1"/>
  <c r="CL3"/>
  <c r="CF3"/>
  <c r="CF33" s="1"/>
  <c r="CE3"/>
  <c r="CE33" s="1"/>
  <c r="CE34" s="1"/>
  <c r="BY3"/>
  <c r="BY33" s="1"/>
  <c r="BX3"/>
  <c r="BX33" s="1"/>
  <c r="BX34" s="1"/>
  <c r="BR3"/>
  <c r="BQ3"/>
  <c r="BQ33" s="1"/>
  <c r="BQ34" s="1"/>
  <c r="BJ3"/>
  <c r="BD3"/>
  <c r="BC3"/>
  <c r="AR3"/>
  <c r="AQ3"/>
  <c r="B2"/>
  <c r="CT1"/>
  <c r="CS1"/>
  <c r="CQ1"/>
  <c r="CP1"/>
  <c r="CO1"/>
  <c r="CN1"/>
  <c r="CN33" s="1"/>
  <c r="CM1"/>
  <c r="CL1"/>
  <c r="CJ1"/>
  <c r="CJ50" s="1"/>
  <c r="CI1"/>
  <c r="CH1"/>
  <c r="CG1"/>
  <c r="CF1"/>
  <c r="CE1"/>
  <c r="BY1"/>
  <c r="BX1"/>
  <c r="BV1"/>
  <c r="BU1"/>
  <c r="BU33" s="1"/>
  <c r="BT1"/>
  <c r="BS1"/>
  <c r="BR1"/>
  <c r="BQ1"/>
  <c r="BO1"/>
  <c r="BN1"/>
  <c r="BM1"/>
  <c r="BM50" s="1"/>
  <c r="BL1"/>
  <c r="BL50" s="1"/>
  <c r="BK1"/>
  <c r="BJ1"/>
  <c r="BB1"/>
  <c r="BA1"/>
  <c r="BA33" s="1"/>
  <c r="AZ1"/>
  <c r="AZ33" s="1"/>
  <c r="AY1"/>
  <c r="AX1"/>
  <c r="AW1"/>
  <c r="AV1"/>
  <c r="AU1"/>
  <c r="AT1"/>
  <c r="AT50" s="1"/>
  <c r="AS1"/>
  <c r="AA1"/>
  <c r="E1"/>
  <c r="AP1" s="1"/>
  <c r="D1"/>
  <c r="C1"/>
  <c r="B1"/>
  <c r="B33" s="1"/>
  <c r="BX80" i="66" l="1"/>
  <c r="BX200"/>
  <c r="AQ60"/>
  <c r="AH80"/>
  <c r="CE80"/>
  <c r="BJ100"/>
  <c r="BJ120"/>
  <c r="BX140"/>
  <c r="BX160"/>
  <c r="BX180"/>
  <c r="AQ200"/>
  <c r="CL200"/>
  <c r="CE60"/>
  <c r="BJ80"/>
  <c r="BX60"/>
  <c r="AQ80"/>
  <c r="CL80"/>
  <c r="BX100"/>
  <c r="BX120"/>
  <c r="BJ200"/>
  <c r="CL60" i="65"/>
  <c r="CE60"/>
  <c r="CL180"/>
  <c r="BJ60"/>
  <c r="BQ180"/>
  <c r="AQ60"/>
  <c r="BJ100" i="64"/>
  <c r="CE60"/>
  <c r="BX80"/>
  <c r="AH100"/>
  <c r="CE100"/>
  <c r="BX120"/>
  <c r="BX140"/>
  <c r="AQ160"/>
  <c r="CL160"/>
  <c r="AQ180"/>
  <c r="CL180"/>
  <c r="BJ200"/>
  <c r="BX100"/>
  <c r="BX160"/>
  <c r="BX180"/>
  <c r="AH60"/>
  <c r="AH80"/>
  <c r="CE80"/>
  <c r="AQ100"/>
  <c r="CL100"/>
  <c r="AH120"/>
  <c r="CE120"/>
  <c r="AH140"/>
  <c r="CE140"/>
  <c r="BJ160"/>
  <c r="BJ180"/>
  <c r="BX200"/>
  <c r="BQ80" i="63"/>
  <c r="CL160"/>
  <c r="CL60"/>
  <c r="CL80"/>
  <c r="CE60"/>
  <c r="BJ60"/>
  <c r="BJ100"/>
  <c r="CL100" i="62"/>
  <c r="CL180"/>
  <c r="BX60"/>
  <c r="CL80"/>
  <c r="CL140"/>
  <c r="CL160"/>
  <c r="CE180"/>
  <c r="AQ60"/>
  <c r="CE80"/>
  <c r="BJ100"/>
  <c r="BJ120"/>
  <c r="CE140"/>
  <c r="CE160"/>
  <c r="BJ180"/>
  <c r="CL200"/>
  <c r="CE60"/>
  <c r="CL120"/>
  <c r="CE100"/>
  <c r="CE120"/>
  <c r="AH60"/>
  <c r="BJ80"/>
  <c r="AQ100"/>
  <c r="AQ120"/>
  <c r="BJ140"/>
  <c r="BJ160"/>
  <c r="AQ180"/>
  <c r="CE200"/>
  <c r="AT51"/>
  <c r="AT3" s="1"/>
  <c r="AT39" s="1" a="1"/>
  <c r="AT39" s="1"/>
  <c r="AV51"/>
  <c r="AV3" s="1"/>
  <c r="AS51"/>
  <c r="BO5" i="64"/>
  <c r="CJ91"/>
  <c r="BL5"/>
  <c r="BV91"/>
  <c r="BV5" s="1"/>
  <c r="CG91"/>
  <c r="CN91" s="1"/>
  <c r="CN5" s="1"/>
  <c r="BW3" i="66"/>
  <c r="CK3"/>
  <c r="E4"/>
  <c r="Z42"/>
  <c r="E63"/>
  <c r="AL63" s="1"/>
  <c r="AT51" i="65"/>
  <c r="AT3" s="1"/>
  <c r="AP33"/>
  <c r="E43"/>
  <c r="AK43" s="1"/>
  <c r="CY1"/>
  <c r="CR33"/>
  <c r="AY34" a="1"/>
  <c r="AY34" s="1"/>
  <c r="AZ34" a="1"/>
  <c r="AZ34" s="1"/>
  <c r="BA38"/>
  <c r="AZ39" i="64" a="1"/>
  <c r="AZ39" s="1"/>
  <c r="AP34"/>
  <c r="AP51"/>
  <c r="AP1"/>
  <c r="E4"/>
  <c r="BB34" a="1"/>
  <c r="BB34" s="1"/>
  <c r="Z42"/>
  <c r="AY34" a="1"/>
  <c r="AY34" s="1"/>
  <c r="AZ34" a="1"/>
  <c r="AZ34" s="1"/>
  <c r="CK71"/>
  <c r="BF3" i="63"/>
  <c r="BG51"/>
  <c r="BP51"/>
  <c r="BG1"/>
  <c r="CD1"/>
  <c r="BI37"/>
  <c r="E37" s="1"/>
  <c r="F2" s="1"/>
  <c r="C33"/>
  <c r="BP33"/>
  <c r="CD34"/>
  <c r="CR1"/>
  <c r="BW34"/>
  <c r="CR4"/>
  <c r="AP4"/>
  <c r="BG4"/>
  <c r="CY4"/>
  <c r="AZ39" a="1"/>
  <c r="AZ39" s="1"/>
  <c r="A62"/>
  <c r="BP4"/>
  <c r="D5"/>
  <c r="BF3" i="62"/>
  <c r="BF33"/>
  <c r="BF34" s="1"/>
  <c r="BW1"/>
  <c r="C33"/>
  <c r="Z42"/>
  <c r="E43"/>
  <c r="AL43" s="1"/>
  <c r="BG51"/>
  <c r="BP51"/>
  <c r="E4"/>
  <c r="AY37"/>
  <c r="BI34" a="1"/>
  <c r="BI34" s="1"/>
  <c r="BG71"/>
  <c r="CR1" i="66"/>
  <c r="AP3"/>
  <c r="CY3"/>
  <c r="AZ34" a="1"/>
  <c r="AZ34" s="1"/>
  <c r="BI34" a="1"/>
  <c r="BI34" s="1"/>
  <c r="E34" s="1"/>
  <c r="CD51"/>
  <c r="BG3"/>
  <c r="AK43"/>
  <c r="BG51"/>
  <c r="BP51"/>
  <c r="CR51"/>
  <c r="D5"/>
  <c r="BP71"/>
  <c r="CN170"/>
  <c r="CN90"/>
  <c r="CN190"/>
  <c r="CN150"/>
  <c r="CN110"/>
  <c r="CN33"/>
  <c r="CN130"/>
  <c r="AY39" a="1"/>
  <c r="AY39" s="1"/>
  <c r="AY38"/>
  <c r="AY35" a="1"/>
  <c r="AY35" s="1"/>
  <c r="AY34" a="1"/>
  <c r="AY34" s="1"/>
  <c r="BM71"/>
  <c r="AT4"/>
  <c r="CA91"/>
  <c r="CA5" s="1"/>
  <c r="CH91"/>
  <c r="BT91"/>
  <c r="BT5" s="1"/>
  <c r="BM5"/>
  <c r="CB91"/>
  <c r="CB5" s="1"/>
  <c r="BL10"/>
  <c r="CG191"/>
  <c r="AT50"/>
  <c r="AT190"/>
  <c r="AT150"/>
  <c r="AT110"/>
  <c r="AT70"/>
  <c r="CQ190"/>
  <c r="CQ170"/>
  <c r="CQ150"/>
  <c r="CQ130"/>
  <c r="CQ110"/>
  <c r="CQ90"/>
  <c r="CQ70"/>
  <c r="CQ33"/>
  <c r="CQ50"/>
  <c r="BF3"/>
  <c r="BF33"/>
  <c r="BF34" s="1"/>
  <c r="BA39" a="1"/>
  <c r="BA39" s="1"/>
  <c r="BA37"/>
  <c r="BA35" a="1"/>
  <c r="BA35" s="1"/>
  <c r="BA38"/>
  <c r="BA34" a="1"/>
  <c r="BA34" s="1"/>
  <c r="AJ83"/>
  <c r="AM83"/>
  <c r="AL83"/>
  <c r="AK83"/>
  <c r="CJ6"/>
  <c r="CQ111"/>
  <c r="CQ6" s="1"/>
  <c r="CA151"/>
  <c r="CA8" s="1"/>
  <c r="CH151"/>
  <c r="BT151"/>
  <c r="BT8" s="1"/>
  <c r="BM8"/>
  <c r="CB151"/>
  <c r="CB8" s="1"/>
  <c r="AS130"/>
  <c r="AS90"/>
  <c r="AS33"/>
  <c r="AS190"/>
  <c r="AS150"/>
  <c r="AS110"/>
  <c r="AS170"/>
  <c r="BL70"/>
  <c r="BL50"/>
  <c r="BL190"/>
  <c r="BL150"/>
  <c r="BL110"/>
  <c r="BL170"/>
  <c r="BL130"/>
  <c r="BL90"/>
  <c r="BL33"/>
  <c r="BT190"/>
  <c r="BT170"/>
  <c r="BT150"/>
  <c r="BT130"/>
  <c r="BT110"/>
  <c r="BT90"/>
  <c r="BT70"/>
  <c r="BT50"/>
  <c r="BT33"/>
  <c r="AJ63"/>
  <c r="AJ103"/>
  <c r="AM103"/>
  <c r="AK103"/>
  <c r="BL6"/>
  <c r="CG111"/>
  <c r="AJ123"/>
  <c r="AM123"/>
  <c r="AL123"/>
  <c r="AK123"/>
  <c r="CJ8"/>
  <c r="CQ151"/>
  <c r="CQ8" s="1"/>
  <c r="CA171"/>
  <c r="CA9" s="1"/>
  <c r="CH171"/>
  <c r="BT171"/>
  <c r="BT9" s="1"/>
  <c r="CB171"/>
  <c r="CB9" s="1"/>
  <c r="BM9"/>
  <c r="CA191"/>
  <c r="CA10" s="1"/>
  <c r="CH191"/>
  <c r="BT191"/>
  <c r="BT10" s="1"/>
  <c r="CB191"/>
  <c r="CB10" s="1"/>
  <c r="BS191"/>
  <c r="BS10" s="1"/>
  <c r="BP1"/>
  <c r="AT5"/>
  <c r="AS50"/>
  <c r="AT90"/>
  <c r="CI130"/>
  <c r="CI190"/>
  <c r="CI150"/>
  <c r="CI110"/>
  <c r="CI50"/>
  <c r="CI33"/>
  <c r="CI170"/>
  <c r="CI90"/>
  <c r="BB37"/>
  <c r="BB38"/>
  <c r="BB34" a="1"/>
  <c r="BB34" s="1"/>
  <c r="CA111"/>
  <c r="CA6" s="1"/>
  <c r="CH111"/>
  <c r="BT111"/>
  <c r="BT6" s="1"/>
  <c r="BM6"/>
  <c r="CB111"/>
  <c r="CB6" s="1"/>
  <c r="AJ183"/>
  <c r="AM183"/>
  <c r="AK183"/>
  <c r="CD34"/>
  <c r="CK33"/>
  <c r="BW34"/>
  <c r="CY33"/>
  <c r="AP33"/>
  <c r="C33"/>
  <c r="CD1"/>
  <c r="AP1"/>
  <c r="CR34"/>
  <c r="CK34"/>
  <c r="AP34"/>
  <c r="BW33"/>
  <c r="BP34"/>
  <c r="CD33"/>
  <c r="BP33"/>
  <c r="CK1"/>
  <c r="BG1"/>
  <c r="CA131"/>
  <c r="CA7" s="1"/>
  <c r="CH131"/>
  <c r="BT131"/>
  <c r="BT7" s="1"/>
  <c r="BM7"/>
  <c r="CB131"/>
  <c r="CB7" s="1"/>
  <c r="BO190"/>
  <c r="BO170"/>
  <c r="BO150"/>
  <c r="BO130"/>
  <c r="BO110"/>
  <c r="BO90"/>
  <c r="BO70"/>
  <c r="BO50"/>
  <c r="BS50"/>
  <c r="BS190"/>
  <c r="BS170"/>
  <c r="BS150"/>
  <c r="BS130"/>
  <c r="BS110"/>
  <c r="BS90"/>
  <c r="BS70"/>
  <c r="CJ50"/>
  <c r="CJ190"/>
  <c r="CJ150"/>
  <c r="CJ110"/>
  <c r="CJ33"/>
  <c r="CJ70"/>
  <c r="AZ39" a="1"/>
  <c r="AZ39" s="1"/>
  <c r="AZ38"/>
  <c r="AZ37"/>
  <c r="AZ35" a="1"/>
  <c r="AZ35" s="1"/>
  <c r="BI37"/>
  <c r="BI38"/>
  <c r="E38" s="1"/>
  <c r="BI39"/>
  <c r="E39" s="1"/>
  <c r="BI35" a="1"/>
  <c r="BI35" s="1"/>
  <c r="E35" s="1"/>
  <c r="AJ143"/>
  <c r="AM143"/>
  <c r="AK143"/>
  <c r="BL8"/>
  <c r="CG151"/>
  <c r="AJ163"/>
  <c r="AM163"/>
  <c r="AL163"/>
  <c r="AK163"/>
  <c r="CJ10"/>
  <c r="CQ191"/>
  <c r="CQ10" s="1"/>
  <c r="CY1"/>
  <c r="BG33"/>
  <c r="BW1"/>
  <c r="AT7"/>
  <c r="CR33"/>
  <c r="AY37"/>
  <c r="BB39" a="1"/>
  <c r="BB39" s="1"/>
  <c r="CN50"/>
  <c r="AS70"/>
  <c r="CN70"/>
  <c r="CJ90"/>
  <c r="AT130"/>
  <c r="CR131"/>
  <c r="CD131"/>
  <c r="AP131"/>
  <c r="Z122"/>
  <c r="CI151"/>
  <c r="BU151"/>
  <c r="BU8" s="1"/>
  <c r="BZ151"/>
  <c r="BZ8" s="1"/>
  <c r="AQ149"/>
  <c r="CI191"/>
  <c r="BU191"/>
  <c r="BU10" s="1"/>
  <c r="BZ191"/>
  <c r="BZ10" s="1"/>
  <c r="AQ189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AS71"/>
  <c r="AV71"/>
  <c r="CI91"/>
  <c r="BU91"/>
  <c r="BU5" s="1"/>
  <c r="BZ91"/>
  <c r="BZ5" s="1"/>
  <c r="AQ89"/>
  <c r="CR111"/>
  <c r="CD111"/>
  <c r="AP111"/>
  <c r="Z102"/>
  <c r="CI131"/>
  <c r="BU131"/>
  <c r="BU7" s="1"/>
  <c r="BZ131"/>
  <c r="BZ7" s="1"/>
  <c r="AQ129"/>
  <c r="CR151"/>
  <c r="CD151"/>
  <c r="AP151"/>
  <c r="Z142"/>
  <c r="CI171"/>
  <c r="BU171"/>
  <c r="BU9" s="1"/>
  <c r="BZ171"/>
  <c r="BZ9" s="1"/>
  <c r="AQ169"/>
  <c r="CR191"/>
  <c r="CD191"/>
  <c r="AP191"/>
  <c r="Z182"/>
  <c r="CK171"/>
  <c r="D4"/>
  <c r="AU6"/>
  <c r="AU8"/>
  <c r="BN10"/>
  <c r="AU33"/>
  <c r="CO70"/>
  <c r="AU71"/>
  <c r="BG71"/>
  <c r="BU90"/>
  <c r="CG91"/>
  <c r="CK111"/>
  <c r="BU130"/>
  <c r="BP131"/>
  <c r="CG131"/>
  <c r="CK151"/>
  <c r="BU170"/>
  <c r="CG171"/>
  <c r="CK191"/>
  <c r="AM43"/>
  <c r="BO51" s="1"/>
  <c r="AL43"/>
  <c r="BN51" s="1"/>
  <c r="CR91"/>
  <c r="CD91"/>
  <c r="AP91"/>
  <c r="Z82"/>
  <c r="CI111"/>
  <c r="BU111"/>
  <c r="BU6" s="1"/>
  <c r="BZ111"/>
  <c r="BZ6" s="1"/>
  <c r="AQ109"/>
  <c r="CR171"/>
  <c r="CD171"/>
  <c r="AP171"/>
  <c r="Z162"/>
  <c r="AV190"/>
  <c r="AV170"/>
  <c r="AV150"/>
  <c r="AV130"/>
  <c r="AV110"/>
  <c r="AV90"/>
  <c r="AV70"/>
  <c r="BN50"/>
  <c r="BN190"/>
  <c r="BN170"/>
  <c r="BN150"/>
  <c r="BN130"/>
  <c r="BN110"/>
  <c r="BN90"/>
  <c r="BN70"/>
  <c r="CH190"/>
  <c r="CH170"/>
  <c r="CH150"/>
  <c r="CH130"/>
  <c r="CH110"/>
  <c r="CH90"/>
  <c r="CH70"/>
  <c r="CP50"/>
  <c r="CP190"/>
  <c r="CP170"/>
  <c r="CP150"/>
  <c r="CP130"/>
  <c r="CP110"/>
  <c r="CP90"/>
  <c r="CP70"/>
  <c r="AT38"/>
  <c r="Z62"/>
  <c r="CR71"/>
  <c r="CD71"/>
  <c r="AP71"/>
  <c r="A62"/>
  <c r="CK91"/>
  <c r="CK131"/>
  <c r="AV33"/>
  <c r="BV33"/>
  <c r="CP33"/>
  <c r="AJ43"/>
  <c r="BL51" s="1"/>
  <c r="BM51"/>
  <c r="BU70"/>
  <c r="BW71"/>
  <c r="BM90"/>
  <c r="BV90"/>
  <c r="BG91"/>
  <c r="CO110"/>
  <c r="BM130"/>
  <c r="BV130"/>
  <c r="BG131"/>
  <c r="CO150"/>
  <c r="BM170"/>
  <c r="BV170"/>
  <c r="BG171"/>
  <c r="CO190"/>
  <c r="BW51"/>
  <c r="BJ60"/>
  <c r="CL60"/>
  <c r="BQ80"/>
  <c r="BQ100"/>
  <c r="BQ120"/>
  <c r="BQ140"/>
  <c r="BQ160"/>
  <c r="BQ180"/>
  <c r="BQ200"/>
  <c r="BQ60"/>
  <c r="BO190" i="65"/>
  <c r="BO170"/>
  <c r="BO150"/>
  <c r="BO130"/>
  <c r="BO110"/>
  <c r="BO90"/>
  <c r="BO70"/>
  <c r="BO50"/>
  <c r="BO33"/>
  <c r="BI35" a="1"/>
  <c r="BI35" s="1"/>
  <c r="E35" s="1"/>
  <c r="BI34" a="1"/>
  <c r="BI34" s="1"/>
  <c r="BI37"/>
  <c r="BI38"/>
  <c r="E38" s="1"/>
  <c r="CI111"/>
  <c r="BU111"/>
  <c r="BU6" s="1"/>
  <c r="BZ111"/>
  <c r="BZ6" s="1"/>
  <c r="AQ109"/>
  <c r="CC111"/>
  <c r="CC6" s="1"/>
  <c r="CN191"/>
  <c r="CN10" s="1"/>
  <c r="CG10"/>
  <c r="CR51"/>
  <c r="CD51"/>
  <c r="AP51"/>
  <c r="A42"/>
  <c r="Z42"/>
  <c r="BP51"/>
  <c r="CK51"/>
  <c r="BG51"/>
  <c r="E4"/>
  <c r="CI190"/>
  <c r="CI170"/>
  <c r="CI150"/>
  <c r="CI130"/>
  <c r="CI110"/>
  <c r="CI90"/>
  <c r="CI70"/>
  <c r="CI33"/>
  <c r="CI50"/>
  <c r="AZ39" a="1"/>
  <c r="AZ39" s="1"/>
  <c r="AZ37"/>
  <c r="AJ63"/>
  <c r="AK63"/>
  <c r="AM63"/>
  <c r="CN111"/>
  <c r="CN6" s="1"/>
  <c r="CG6"/>
  <c r="CI191"/>
  <c r="BU191"/>
  <c r="BU10" s="1"/>
  <c r="BZ191"/>
  <c r="BZ10" s="1"/>
  <c r="CC191"/>
  <c r="CC10" s="1"/>
  <c r="BN10"/>
  <c r="AQ189"/>
  <c r="BA34" a="1"/>
  <c r="BA34" s="1"/>
  <c r="BA35" a="1"/>
  <c r="BA35" s="1"/>
  <c r="BN6"/>
  <c r="BO71"/>
  <c r="AM43"/>
  <c r="AL43"/>
  <c r="CY34"/>
  <c r="CR34"/>
  <c r="BP34"/>
  <c r="CY33"/>
  <c r="BW33"/>
  <c r="BG33"/>
  <c r="C33"/>
  <c r="CR1"/>
  <c r="BP1"/>
  <c r="Z1"/>
  <c r="CK34"/>
  <c r="CD34"/>
  <c r="BW34"/>
  <c r="CD33"/>
  <c r="BP33"/>
  <c r="CK1"/>
  <c r="BG1"/>
  <c r="CK33"/>
  <c r="CD1"/>
  <c r="AP1"/>
  <c r="BS50"/>
  <c r="BS33"/>
  <c r="BS170"/>
  <c r="BS130"/>
  <c r="BS190"/>
  <c r="BS150"/>
  <c r="BS110"/>
  <c r="BS90"/>
  <c r="AY39" a="1"/>
  <c r="AY39" s="1"/>
  <c r="AY38"/>
  <c r="AY37"/>
  <c r="AY35" a="1"/>
  <c r="AY35" s="1"/>
  <c r="F33"/>
  <c r="BJ34"/>
  <c r="Z62"/>
  <c r="BP71"/>
  <c r="BG71"/>
  <c r="A62"/>
  <c r="CD71"/>
  <c r="CK71"/>
  <c r="AP71"/>
  <c r="E5"/>
  <c r="CR71"/>
  <c r="BW71"/>
  <c r="CI151"/>
  <c r="BU151"/>
  <c r="BU8" s="1"/>
  <c r="BZ151"/>
  <c r="BZ8" s="1"/>
  <c r="CC151"/>
  <c r="CC8" s="1"/>
  <c r="AQ149"/>
  <c r="AS190"/>
  <c r="AS170"/>
  <c r="AS150"/>
  <c r="AS130"/>
  <c r="AS110"/>
  <c r="AS90"/>
  <c r="AS70"/>
  <c r="AS33"/>
  <c r="AS50"/>
  <c r="CQ190"/>
  <c r="CQ170"/>
  <c r="CQ150"/>
  <c r="CQ130"/>
  <c r="CQ110"/>
  <c r="CQ90"/>
  <c r="CQ70"/>
  <c r="CQ50"/>
  <c r="CQ33"/>
  <c r="CN151"/>
  <c r="CN8" s="1"/>
  <c r="CG8"/>
  <c r="BW1"/>
  <c r="BA37"/>
  <c r="BI39"/>
  <c r="E39" s="1"/>
  <c r="BN71"/>
  <c r="AJ83"/>
  <c r="AK83"/>
  <c r="CA111"/>
  <c r="CA6" s="1"/>
  <c r="CB111"/>
  <c r="CB6" s="1"/>
  <c r="BX120"/>
  <c r="AH120"/>
  <c r="CE120"/>
  <c r="AQ120"/>
  <c r="AJ123"/>
  <c r="AK123"/>
  <c r="AR149"/>
  <c r="CJ151"/>
  <c r="BV151"/>
  <c r="BV8" s="1"/>
  <c r="CA151"/>
  <c r="CA8" s="1"/>
  <c r="CB151"/>
  <c r="CB8" s="1"/>
  <c r="BX160"/>
  <c r="AH160"/>
  <c r="CE160"/>
  <c r="AQ160"/>
  <c r="AR189"/>
  <c r="CJ191"/>
  <c r="BV191"/>
  <c r="BV10" s="1"/>
  <c r="CA191"/>
  <c r="CA10" s="1"/>
  <c r="CB191"/>
  <c r="CB10" s="1"/>
  <c r="CI91"/>
  <c r="BU91"/>
  <c r="BU5" s="1"/>
  <c r="CI171"/>
  <c r="BU171"/>
  <c r="BU9" s="1"/>
  <c r="BU190"/>
  <c r="BU170"/>
  <c r="BU150"/>
  <c r="BU130"/>
  <c r="BU110"/>
  <c r="BU90"/>
  <c r="BU70"/>
  <c r="AS71"/>
  <c r="AT71"/>
  <c r="AR89"/>
  <c r="CJ91"/>
  <c r="BV91"/>
  <c r="BV5" s="1"/>
  <c r="CA91"/>
  <c r="CA5" s="1"/>
  <c r="CB91"/>
  <c r="CB5" s="1"/>
  <c r="BX100"/>
  <c r="AH100"/>
  <c r="CE100"/>
  <c r="AQ100"/>
  <c r="AJ103"/>
  <c r="AK103"/>
  <c r="AR129"/>
  <c r="CJ131"/>
  <c r="BV131"/>
  <c r="BV7" s="1"/>
  <c r="CA131"/>
  <c r="CA7" s="1"/>
  <c r="CB131"/>
  <c r="CB7" s="1"/>
  <c r="BX140"/>
  <c r="AH140"/>
  <c r="CE140"/>
  <c r="AQ140"/>
  <c r="AJ143"/>
  <c r="AK143"/>
  <c r="AR169"/>
  <c r="CJ171"/>
  <c r="BV171"/>
  <c r="BV9" s="1"/>
  <c r="CA171"/>
  <c r="CA9" s="1"/>
  <c r="CB171"/>
  <c r="CB9" s="1"/>
  <c r="BX180"/>
  <c r="AH180"/>
  <c r="CE180"/>
  <c r="AQ180"/>
  <c r="AJ183"/>
  <c r="AK183"/>
  <c r="CS120"/>
  <c r="CS200"/>
  <c r="AV6"/>
  <c r="BM6"/>
  <c r="CG7"/>
  <c r="CK8"/>
  <c r="AP10"/>
  <c r="BW10"/>
  <c r="BV33"/>
  <c r="CP33"/>
  <c r="CP70"/>
  <c r="CL80"/>
  <c r="CN91"/>
  <c r="CN5" s="1"/>
  <c r="BN110"/>
  <c r="BV110"/>
  <c r="CL120"/>
  <c r="BN150"/>
  <c r="BT151"/>
  <c r="BT8" s="1"/>
  <c r="CH151"/>
  <c r="CL160"/>
  <c r="CP170"/>
  <c r="BZ171"/>
  <c r="BZ9" s="1"/>
  <c r="CN171"/>
  <c r="CN9" s="1"/>
  <c r="BN190"/>
  <c r="BV190"/>
  <c r="BT191"/>
  <c r="BT10" s="1"/>
  <c r="CH191"/>
  <c r="CL200"/>
  <c r="BA39" a="1"/>
  <c r="BA39" s="1"/>
  <c r="D4"/>
  <c r="AU6"/>
  <c r="BG6"/>
  <c r="BP6"/>
  <c r="CR6"/>
  <c r="AU8"/>
  <c r="BG8"/>
  <c r="BP8"/>
  <c r="CR8"/>
  <c r="CD10"/>
  <c r="CY10"/>
  <c r="AU33"/>
  <c r="BU33"/>
  <c r="CJ33"/>
  <c r="CO33"/>
  <c r="AT70"/>
  <c r="CG70"/>
  <c r="CO70"/>
  <c r="AT90"/>
  <c r="CG90"/>
  <c r="CO90"/>
  <c r="CS100"/>
  <c r="BM110"/>
  <c r="BS111"/>
  <c r="BS6" s="1"/>
  <c r="BQ120"/>
  <c r="AT130"/>
  <c r="CG130"/>
  <c r="CO130"/>
  <c r="CS140"/>
  <c r="BM150"/>
  <c r="BS151"/>
  <c r="BS8" s="1"/>
  <c r="BQ160"/>
  <c r="AT170"/>
  <c r="CG170"/>
  <c r="CS180"/>
  <c r="BM190"/>
  <c r="BS191"/>
  <c r="BS10" s="1"/>
  <c r="BX80"/>
  <c r="AH80"/>
  <c r="CE80"/>
  <c r="AQ80"/>
  <c r="AR109"/>
  <c r="CJ111"/>
  <c r="BV111"/>
  <c r="BV6" s="1"/>
  <c r="AJ163"/>
  <c r="AK163"/>
  <c r="BX200"/>
  <c r="AH200"/>
  <c r="CE200"/>
  <c r="AQ200"/>
  <c r="AV190"/>
  <c r="AV170"/>
  <c r="AV150"/>
  <c r="AV130"/>
  <c r="AV110"/>
  <c r="AV90"/>
  <c r="AV70"/>
  <c r="AV50"/>
  <c r="CH190"/>
  <c r="CH170"/>
  <c r="CH150"/>
  <c r="CH130"/>
  <c r="CH110"/>
  <c r="CH90"/>
  <c r="CH70"/>
  <c r="CH50"/>
  <c r="BB37"/>
  <c r="BB35" a="1"/>
  <c r="BB35" s="1"/>
  <c r="AV51"/>
  <c r="AS51"/>
  <c r="CI131"/>
  <c r="BU131"/>
  <c r="BU7" s="1"/>
  <c r="BL190"/>
  <c r="BL170"/>
  <c r="BL150"/>
  <c r="BL130"/>
  <c r="BL110"/>
  <c r="BL90"/>
  <c r="BL70"/>
  <c r="BT190"/>
  <c r="BT170"/>
  <c r="BT150"/>
  <c r="BT130"/>
  <c r="BT110"/>
  <c r="BT90"/>
  <c r="BT70"/>
  <c r="BT50"/>
  <c r="CN190"/>
  <c r="CN170"/>
  <c r="CN150"/>
  <c r="CN130"/>
  <c r="CN110"/>
  <c r="CN90"/>
  <c r="CN70"/>
  <c r="AZ38"/>
  <c r="AZ35" a="1"/>
  <c r="AZ35" s="1"/>
  <c r="CO91"/>
  <c r="CO5" s="1"/>
  <c r="CV91"/>
  <c r="CV5" s="1"/>
  <c r="CO131"/>
  <c r="CO7" s="1"/>
  <c r="CV131"/>
  <c r="CV7" s="1"/>
  <c r="CO171"/>
  <c r="CO9" s="1"/>
  <c r="CV171"/>
  <c r="CV9" s="1"/>
  <c r="CS80"/>
  <c r="AL123"/>
  <c r="CS160"/>
  <c r="CK6"/>
  <c r="AV8"/>
  <c r="BM8"/>
  <c r="BO10"/>
  <c r="AU51"/>
  <c r="CP90"/>
  <c r="BZ91"/>
  <c r="BZ5" s="1"/>
  <c r="BT111"/>
  <c r="BT6" s="1"/>
  <c r="CH111"/>
  <c r="CP130"/>
  <c r="BV150"/>
  <c r="AP6"/>
  <c r="BO6"/>
  <c r="BW6"/>
  <c r="AP8"/>
  <c r="BO8"/>
  <c r="BW8"/>
  <c r="AV10"/>
  <c r="BM10"/>
  <c r="BN33"/>
  <c r="BT33"/>
  <c r="CH33"/>
  <c r="CN33"/>
  <c r="BB34" a="1"/>
  <c r="BB34" s="1"/>
  <c r="BB36" s="1"/>
  <c r="BB38"/>
  <c r="BB39" a="1"/>
  <c r="BB39" s="1"/>
  <c r="BV50"/>
  <c r="BN70"/>
  <c r="BV70"/>
  <c r="BJ80"/>
  <c r="AM83"/>
  <c r="AQ89"/>
  <c r="BN90"/>
  <c r="BV90"/>
  <c r="AU110"/>
  <c r="CJ110"/>
  <c r="CP110"/>
  <c r="BJ120"/>
  <c r="AM123"/>
  <c r="AQ129"/>
  <c r="BN130"/>
  <c r="BV130"/>
  <c r="AU150"/>
  <c r="CJ150"/>
  <c r="CP150"/>
  <c r="BJ160"/>
  <c r="AM163"/>
  <c r="AQ169"/>
  <c r="BN170"/>
  <c r="AU190"/>
  <c r="CP190"/>
  <c r="BJ200"/>
  <c r="AH60"/>
  <c r="BX60"/>
  <c r="BG91"/>
  <c r="BG111"/>
  <c r="BG131"/>
  <c r="BG151"/>
  <c r="BG171"/>
  <c r="BG191"/>
  <c r="BQ60"/>
  <c r="E37" i="64"/>
  <c r="F2" s="1"/>
  <c r="BH38"/>
  <c r="BH39"/>
  <c r="BH34"/>
  <c r="AY36"/>
  <c r="AV190"/>
  <c r="AV170"/>
  <c r="AV150"/>
  <c r="AV130"/>
  <c r="AV110"/>
  <c r="AV90"/>
  <c r="AV70"/>
  <c r="AV50"/>
  <c r="AV33"/>
  <c r="BO190"/>
  <c r="BO170"/>
  <c r="BO150"/>
  <c r="BO130"/>
  <c r="BO110"/>
  <c r="BO90"/>
  <c r="BO70"/>
  <c r="BO33"/>
  <c r="CA111"/>
  <c r="CA6" s="1"/>
  <c r="CH111"/>
  <c r="BT111"/>
  <c r="BT6" s="1"/>
  <c r="CB111"/>
  <c r="CB6" s="1"/>
  <c r="AJ123"/>
  <c r="AM123"/>
  <c r="AL123"/>
  <c r="BN50"/>
  <c r="BN190"/>
  <c r="BN170"/>
  <c r="BN150"/>
  <c r="BN130"/>
  <c r="BN110"/>
  <c r="BN90"/>
  <c r="BN70"/>
  <c r="CI170"/>
  <c r="CI130"/>
  <c r="CI90"/>
  <c r="CI50"/>
  <c r="CI33"/>
  <c r="CI70"/>
  <c r="CR191"/>
  <c r="CD191"/>
  <c r="AP191"/>
  <c r="Z182"/>
  <c r="BW191"/>
  <c r="A182"/>
  <c r="BP191"/>
  <c r="BG191"/>
  <c r="CH190"/>
  <c r="CH170"/>
  <c r="CH150"/>
  <c r="CH130"/>
  <c r="CH110"/>
  <c r="CH90"/>
  <c r="CH70"/>
  <c r="CH50"/>
  <c r="CH33"/>
  <c r="AS50"/>
  <c r="AS170"/>
  <c r="AS130"/>
  <c r="AS90"/>
  <c r="AS70"/>
  <c r="CP50"/>
  <c r="CP190"/>
  <c r="CP170"/>
  <c r="CP150"/>
  <c r="CP130"/>
  <c r="CP110"/>
  <c r="CP90"/>
  <c r="CP70"/>
  <c r="CP33"/>
  <c r="BB37"/>
  <c r="BB38"/>
  <c r="BB39" a="1"/>
  <c r="BB39" s="1"/>
  <c r="BB35" a="1"/>
  <c r="BB35" s="1"/>
  <c r="BJ34"/>
  <c r="F33"/>
  <c r="BE51"/>
  <c r="BE3" s="1"/>
  <c r="D4"/>
  <c r="AM43"/>
  <c r="BO51" s="1"/>
  <c r="AL43"/>
  <c r="AJ43"/>
  <c r="BL51" s="1"/>
  <c r="CR111"/>
  <c r="CD111"/>
  <c r="AP111"/>
  <c r="Z102"/>
  <c r="BW111"/>
  <c r="A102"/>
  <c r="E7"/>
  <c r="BP111"/>
  <c r="BG111"/>
  <c r="CA151"/>
  <c r="CA8" s="1"/>
  <c r="CH151"/>
  <c r="BT151"/>
  <c r="BT8" s="1"/>
  <c r="CB151"/>
  <c r="CB8" s="1"/>
  <c r="BN171"/>
  <c r="AU9"/>
  <c r="CN191"/>
  <c r="CN10" s="1"/>
  <c r="CG10"/>
  <c r="CG5"/>
  <c r="BI39"/>
  <c r="E39" s="1"/>
  <c r="CY1"/>
  <c r="BM6"/>
  <c r="E163"/>
  <c r="AS190"/>
  <c r="CI190"/>
  <c r="CK191"/>
  <c r="BN131"/>
  <c r="AU7"/>
  <c r="CA171"/>
  <c r="CA9" s="1"/>
  <c r="CH171"/>
  <c r="BT171"/>
  <c r="BT9" s="1"/>
  <c r="BM9"/>
  <c r="BS50"/>
  <c r="BS190"/>
  <c r="BS170"/>
  <c r="BS150"/>
  <c r="BS130"/>
  <c r="BS110"/>
  <c r="BS90"/>
  <c r="BS70"/>
  <c r="BS33"/>
  <c r="AY39" a="1"/>
  <c r="AY39" s="1"/>
  <c r="AY38"/>
  <c r="AY35" a="1"/>
  <c r="AY35" s="1"/>
  <c r="AY37"/>
  <c r="BE71"/>
  <c r="BE4" s="1"/>
  <c r="D5"/>
  <c r="AS71"/>
  <c r="AV71"/>
  <c r="AT71"/>
  <c r="BN91"/>
  <c r="AU5"/>
  <c r="CY34"/>
  <c r="CD34"/>
  <c r="CK33"/>
  <c r="CR33"/>
  <c r="BG33"/>
  <c r="CR1"/>
  <c r="BP1"/>
  <c r="Z1"/>
  <c r="BW34"/>
  <c r="BP34"/>
  <c r="CD33"/>
  <c r="BP33"/>
  <c r="CK1"/>
  <c r="BG1"/>
  <c r="CY33"/>
  <c r="AP33"/>
  <c r="C33"/>
  <c r="BV50"/>
  <c r="BV170"/>
  <c r="BV130"/>
  <c r="BV90"/>
  <c r="BV70"/>
  <c r="BV190"/>
  <c r="BV150"/>
  <c r="BV110"/>
  <c r="BV33"/>
  <c r="CQ190"/>
  <c r="CQ170"/>
  <c r="CQ150"/>
  <c r="CQ130"/>
  <c r="CQ110"/>
  <c r="CQ90"/>
  <c r="CQ70"/>
  <c r="CQ50"/>
  <c r="BA39" a="1"/>
  <c r="BA39" s="1"/>
  <c r="BA37"/>
  <c r="BA35" a="1"/>
  <c r="BA35" s="1"/>
  <c r="BA38"/>
  <c r="BA34" a="1"/>
  <c r="BA34" s="1"/>
  <c r="CR151"/>
  <c r="CD151"/>
  <c r="AP151"/>
  <c r="Z142"/>
  <c r="BW151"/>
  <c r="A142"/>
  <c r="E9"/>
  <c r="BP151"/>
  <c r="BG151"/>
  <c r="CN171"/>
  <c r="CN9" s="1"/>
  <c r="CG9"/>
  <c r="CA191"/>
  <c r="CA10" s="1"/>
  <c r="CH191"/>
  <c r="BT191"/>
  <c r="BT10" s="1"/>
  <c r="BM10"/>
  <c r="CB191"/>
  <c r="CB10" s="1"/>
  <c r="BN33"/>
  <c r="E83"/>
  <c r="CI110"/>
  <c r="CD1"/>
  <c r="BI38"/>
  <c r="E38" s="1"/>
  <c r="CG8"/>
  <c r="E11"/>
  <c r="BW33"/>
  <c r="CQ33"/>
  <c r="CK34"/>
  <c r="AZ35" a="1"/>
  <c r="AZ35" s="1"/>
  <c r="BO50"/>
  <c r="AU71"/>
  <c r="AK123"/>
  <c r="AJ63"/>
  <c r="AM63"/>
  <c r="AJ103"/>
  <c r="AM103"/>
  <c r="AJ143"/>
  <c r="AM143"/>
  <c r="AJ183"/>
  <c r="AM183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CR91"/>
  <c r="CD91"/>
  <c r="AP91"/>
  <c r="Z82"/>
  <c r="CI111"/>
  <c r="BU111"/>
  <c r="BU6" s="1"/>
  <c r="BZ111"/>
  <c r="BZ6" s="1"/>
  <c r="AQ109"/>
  <c r="CR131"/>
  <c r="CD131"/>
  <c r="AP131"/>
  <c r="Z122"/>
  <c r="CI151"/>
  <c r="BU151"/>
  <c r="BU8" s="1"/>
  <c r="BZ151"/>
  <c r="BZ8" s="1"/>
  <c r="AQ149"/>
  <c r="CR171"/>
  <c r="CD171"/>
  <c r="AP171"/>
  <c r="Z162"/>
  <c r="CI191"/>
  <c r="BU191"/>
  <c r="BU10" s="1"/>
  <c r="BZ191"/>
  <c r="BZ10" s="1"/>
  <c r="AQ189"/>
  <c r="BM51"/>
  <c r="AL103"/>
  <c r="BS111"/>
  <c r="BS6" s="1"/>
  <c r="AL143"/>
  <c r="BS151"/>
  <c r="BS8" s="1"/>
  <c r="AL183"/>
  <c r="BS191"/>
  <c r="BS10" s="1"/>
  <c r="BL6"/>
  <c r="CJ6"/>
  <c r="BL8"/>
  <c r="CJ8"/>
  <c r="AU33"/>
  <c r="BL33"/>
  <c r="CN33"/>
  <c r="AZ37"/>
  <c r="AZ38"/>
  <c r="AZ36" s="1"/>
  <c r="AK63"/>
  <c r="BM70"/>
  <c r="CN90"/>
  <c r="BM91"/>
  <c r="CK91"/>
  <c r="AK103"/>
  <c r="BL110"/>
  <c r="BU110"/>
  <c r="CN130"/>
  <c r="BM131"/>
  <c r="CK131"/>
  <c r="AK143"/>
  <c r="BL150"/>
  <c r="BU150"/>
  <c r="CN170"/>
  <c r="CK171"/>
  <c r="AK183"/>
  <c r="BL190"/>
  <c r="BU190"/>
  <c r="BT190"/>
  <c r="BT170"/>
  <c r="BT150"/>
  <c r="BT130"/>
  <c r="BT110"/>
  <c r="BT90"/>
  <c r="BT70"/>
  <c r="Z62"/>
  <c r="CR71"/>
  <c r="CD71"/>
  <c r="AP71"/>
  <c r="A62"/>
  <c r="AL63"/>
  <c r="BI35" a="1"/>
  <c r="BI35" s="1"/>
  <c r="E35" s="1"/>
  <c r="AT33"/>
  <c r="BI34" a="1"/>
  <c r="BI34" s="1"/>
  <c r="BN51"/>
  <c r="BU70"/>
  <c r="BW71"/>
  <c r="BM90"/>
  <c r="AT110"/>
  <c r="CJ110"/>
  <c r="CO110"/>
  <c r="BM130"/>
  <c r="AT150"/>
  <c r="CJ150"/>
  <c r="CO150"/>
  <c r="BM170"/>
  <c r="AT190"/>
  <c r="CJ190"/>
  <c r="CO190"/>
  <c r="BW51"/>
  <c r="CK51"/>
  <c r="BJ60"/>
  <c r="CL60"/>
  <c r="BQ80"/>
  <c r="BQ100"/>
  <c r="BQ120"/>
  <c r="BQ140"/>
  <c r="BQ160"/>
  <c r="BQ180"/>
  <c r="BQ200"/>
  <c r="CD51"/>
  <c r="BQ60"/>
  <c r="F33" i="63"/>
  <c r="BJ34"/>
  <c r="BH38"/>
  <c r="BN50"/>
  <c r="BN170"/>
  <c r="BN130"/>
  <c r="BN90"/>
  <c r="BN70"/>
  <c r="BN33"/>
  <c r="BV170"/>
  <c r="BV130"/>
  <c r="BV90"/>
  <c r="BV70"/>
  <c r="BV50"/>
  <c r="BV33"/>
  <c r="AM63"/>
  <c r="AL63"/>
  <c r="BL5"/>
  <c r="CG91"/>
  <c r="BS91"/>
  <c r="BS5" s="1"/>
  <c r="CI91"/>
  <c r="BU91"/>
  <c r="BU5" s="1"/>
  <c r="AQ89"/>
  <c r="CC91"/>
  <c r="CC5" s="1"/>
  <c r="BN5"/>
  <c r="CG131"/>
  <c r="BS131"/>
  <c r="BS7" s="1"/>
  <c r="BL7"/>
  <c r="CI131"/>
  <c r="BU131"/>
  <c r="BU7" s="1"/>
  <c r="AQ129"/>
  <c r="CC131"/>
  <c r="CC7" s="1"/>
  <c r="BN7"/>
  <c r="CO191"/>
  <c r="CO10" s="1"/>
  <c r="CV191"/>
  <c r="CV10" s="1"/>
  <c r="CW191"/>
  <c r="CW10" s="1"/>
  <c r="CH10"/>
  <c r="AU50"/>
  <c r="AU190"/>
  <c r="AU150"/>
  <c r="AU110"/>
  <c r="BM50"/>
  <c r="BM33"/>
  <c r="BM110"/>
  <c r="BM170"/>
  <c r="BM130"/>
  <c r="BM90"/>
  <c r="BM70"/>
  <c r="BM190"/>
  <c r="BM150"/>
  <c r="BU190"/>
  <c r="BU170"/>
  <c r="BU150"/>
  <c r="BU130"/>
  <c r="BU110"/>
  <c r="BU90"/>
  <c r="BU70"/>
  <c r="BU50"/>
  <c r="CH190"/>
  <c r="CH170"/>
  <c r="CH150"/>
  <c r="CH130"/>
  <c r="CH110"/>
  <c r="CH90"/>
  <c r="CH70"/>
  <c r="CH50"/>
  <c r="CH33"/>
  <c r="CP50"/>
  <c r="CP190"/>
  <c r="CP150"/>
  <c r="CP110"/>
  <c r="CP33"/>
  <c r="BB37"/>
  <c r="BB35" a="1"/>
  <c r="BB35" s="1"/>
  <c r="BB39" a="1"/>
  <c r="BB39" s="1"/>
  <c r="BB38"/>
  <c r="BB34" a="1"/>
  <c r="BB34" s="1"/>
  <c r="BN51"/>
  <c r="AU3"/>
  <c r="BO71"/>
  <c r="AV4"/>
  <c r="CO151"/>
  <c r="CO8" s="1"/>
  <c r="CV151"/>
  <c r="CV8" s="1"/>
  <c r="CW151"/>
  <c r="CW8" s="1"/>
  <c r="CH8"/>
  <c r="BN191"/>
  <c r="AU10"/>
  <c r="CG50"/>
  <c r="CG33"/>
  <c r="CG90"/>
  <c r="CG190"/>
  <c r="CG150"/>
  <c r="CG110"/>
  <c r="CG170"/>
  <c r="CG130"/>
  <c r="CG70"/>
  <c r="CO130"/>
  <c r="CO190"/>
  <c r="CO150"/>
  <c r="CO110"/>
  <c r="CO170"/>
  <c r="CO90"/>
  <c r="CO70"/>
  <c r="BA39" a="1"/>
  <c r="BA39" s="1"/>
  <c r="BA38"/>
  <c r="BA37"/>
  <c r="BA35" a="1"/>
  <c r="BA35" s="1"/>
  <c r="BA34" a="1"/>
  <c r="BA34" s="1"/>
  <c r="BE51"/>
  <c r="BE3" s="1"/>
  <c r="D4"/>
  <c r="AV51"/>
  <c r="AS51"/>
  <c r="AT51"/>
  <c r="AY39" a="1"/>
  <c r="AY39" s="1"/>
  <c r="AY38"/>
  <c r="AY37"/>
  <c r="AY34" a="1"/>
  <c r="AY34" s="1"/>
  <c r="CO111"/>
  <c r="CO6" s="1"/>
  <c r="CV111"/>
  <c r="CV6" s="1"/>
  <c r="CW111"/>
  <c r="CW6" s="1"/>
  <c r="CH6"/>
  <c r="BN151"/>
  <c r="AU8"/>
  <c r="AM163"/>
  <c r="AL163"/>
  <c r="BI39"/>
  <c r="E39" s="1"/>
  <c r="BU33"/>
  <c r="CP70"/>
  <c r="BN71"/>
  <c r="AU170"/>
  <c r="BN190"/>
  <c r="BV190"/>
  <c r="AU4"/>
  <c r="AU33"/>
  <c r="AU90"/>
  <c r="BZ91"/>
  <c r="BZ5" s="1"/>
  <c r="AU130"/>
  <c r="BZ131"/>
  <c r="BZ7" s="1"/>
  <c r="BN150"/>
  <c r="BV150"/>
  <c r="AV190"/>
  <c r="AV170"/>
  <c r="AV150"/>
  <c r="AV130"/>
  <c r="AV110"/>
  <c r="AV90"/>
  <c r="AV70"/>
  <c r="AV50"/>
  <c r="AV33"/>
  <c r="AM83"/>
  <c r="AL83"/>
  <c r="BN111"/>
  <c r="AU6"/>
  <c r="AM123"/>
  <c r="AL123"/>
  <c r="BL9"/>
  <c r="CG171"/>
  <c r="BS171"/>
  <c r="BS9" s="1"/>
  <c r="CI171"/>
  <c r="BU171"/>
  <c r="BU9" s="1"/>
  <c r="AQ169"/>
  <c r="CC171"/>
  <c r="CC9" s="1"/>
  <c r="AZ34" a="1"/>
  <c r="AZ34" s="1"/>
  <c r="AZ37"/>
  <c r="AU70"/>
  <c r="BN110"/>
  <c r="BV110"/>
  <c r="CP170"/>
  <c r="AR89"/>
  <c r="CJ91"/>
  <c r="BV91"/>
  <c r="BV5" s="1"/>
  <c r="CA91"/>
  <c r="CA5" s="1"/>
  <c r="CB91"/>
  <c r="CB5" s="1"/>
  <c r="AJ103"/>
  <c r="AK103"/>
  <c r="BX140"/>
  <c r="AH140"/>
  <c r="CE140"/>
  <c r="AQ140"/>
  <c r="CA171"/>
  <c r="CA9" s="1"/>
  <c r="CB171"/>
  <c r="CB9" s="1"/>
  <c r="BX180"/>
  <c r="AH180"/>
  <c r="CE180"/>
  <c r="AQ180"/>
  <c r="AJ183"/>
  <c r="AK183"/>
  <c r="CY34"/>
  <c r="CR34"/>
  <c r="BP34"/>
  <c r="CY33"/>
  <c r="BW33"/>
  <c r="BG33"/>
  <c r="AS190"/>
  <c r="AS170"/>
  <c r="AS150"/>
  <c r="AS130"/>
  <c r="AS110"/>
  <c r="AS90"/>
  <c r="AS70"/>
  <c r="BO190"/>
  <c r="BO170"/>
  <c r="BO150"/>
  <c r="BO130"/>
  <c r="BO110"/>
  <c r="BO90"/>
  <c r="BO70"/>
  <c r="BO50"/>
  <c r="BO33"/>
  <c r="BS50"/>
  <c r="BS33"/>
  <c r="CI190"/>
  <c r="CI170"/>
  <c r="CI150"/>
  <c r="CI130"/>
  <c r="CI110"/>
  <c r="CI90"/>
  <c r="CI70"/>
  <c r="CI33"/>
  <c r="CQ190"/>
  <c r="CQ170"/>
  <c r="CQ150"/>
  <c r="CQ130"/>
  <c r="CQ110"/>
  <c r="CQ90"/>
  <c r="CQ70"/>
  <c r="CQ50"/>
  <c r="CQ33"/>
  <c r="CR51"/>
  <c r="CD51"/>
  <c r="AP51"/>
  <c r="A42"/>
  <c r="Z42"/>
  <c r="Z62"/>
  <c r="BP71"/>
  <c r="BG71"/>
  <c r="AJ63"/>
  <c r="AK63"/>
  <c r="BX80"/>
  <c r="AH80"/>
  <c r="CE80"/>
  <c r="AQ80"/>
  <c r="AJ83"/>
  <c r="AK83"/>
  <c r="AR109"/>
  <c r="CJ111"/>
  <c r="BV111"/>
  <c r="BV6" s="1"/>
  <c r="CA111"/>
  <c r="CA6" s="1"/>
  <c r="CB111"/>
  <c r="CB6" s="1"/>
  <c r="BX120"/>
  <c r="AH120"/>
  <c r="CE120"/>
  <c r="AQ120"/>
  <c r="AJ123"/>
  <c r="AK123"/>
  <c r="AR149"/>
  <c r="CJ151"/>
  <c r="BV151"/>
  <c r="BV8" s="1"/>
  <c r="CA151"/>
  <c r="CA8" s="1"/>
  <c r="CB151"/>
  <c r="CB8" s="1"/>
  <c r="BX160"/>
  <c r="AH160"/>
  <c r="CE160"/>
  <c r="AQ160"/>
  <c r="AJ163"/>
  <c r="AK163"/>
  <c r="AR189"/>
  <c r="CJ191"/>
  <c r="BV191"/>
  <c r="BV10" s="1"/>
  <c r="CA191"/>
  <c r="CA10" s="1"/>
  <c r="CB191"/>
  <c r="CB10" s="1"/>
  <c r="BX200"/>
  <c r="AH200"/>
  <c r="CE200"/>
  <c r="AQ200"/>
  <c r="CS140"/>
  <c r="BW1"/>
  <c r="CY1"/>
  <c r="CK4"/>
  <c r="CD5"/>
  <c r="CD7"/>
  <c r="AP9"/>
  <c r="BW9"/>
  <c r="CY9"/>
  <c r="BL33"/>
  <c r="CK33"/>
  <c r="CK34"/>
  <c r="BI38"/>
  <c r="E38" s="1"/>
  <c r="BW51"/>
  <c r="BS70"/>
  <c r="BW71"/>
  <c r="CK71"/>
  <c r="CS80"/>
  <c r="BS90"/>
  <c r="AT110"/>
  <c r="CS120"/>
  <c r="BS130"/>
  <c r="BQ140"/>
  <c r="AT150"/>
  <c r="CS160"/>
  <c r="BS170"/>
  <c r="BQ180"/>
  <c r="AT190"/>
  <c r="CS200"/>
  <c r="AM43"/>
  <c r="AJ43"/>
  <c r="AS71"/>
  <c r="AT71"/>
  <c r="BX100"/>
  <c r="AH100"/>
  <c r="CE100"/>
  <c r="AQ100"/>
  <c r="AR129"/>
  <c r="CJ131"/>
  <c r="BV131"/>
  <c r="BV7" s="1"/>
  <c r="CA131"/>
  <c r="CA7" s="1"/>
  <c r="CB131"/>
  <c r="CB7" s="1"/>
  <c r="AJ143"/>
  <c r="AK143"/>
  <c r="AR169"/>
  <c r="CJ171"/>
  <c r="BV171"/>
  <c r="BV9" s="1"/>
  <c r="BL190"/>
  <c r="BL170"/>
  <c r="BL150"/>
  <c r="BL130"/>
  <c r="BL110"/>
  <c r="BL90"/>
  <c r="BL70"/>
  <c r="BT190"/>
  <c r="BT170"/>
  <c r="BT150"/>
  <c r="BT130"/>
  <c r="BT110"/>
  <c r="BT90"/>
  <c r="BT70"/>
  <c r="BT50"/>
  <c r="CN190"/>
  <c r="CN170"/>
  <c r="CN150"/>
  <c r="CN130"/>
  <c r="CN110"/>
  <c r="CN90"/>
  <c r="CN70"/>
  <c r="AZ38"/>
  <c r="AZ35" a="1"/>
  <c r="AZ35" s="1"/>
  <c r="BI35" a="1"/>
  <c r="BI35" s="1"/>
  <c r="E35" s="1"/>
  <c r="BI34" a="1"/>
  <c r="BI34" s="1"/>
  <c r="CS100"/>
  <c r="AL103"/>
  <c r="CS180"/>
  <c r="AP5"/>
  <c r="BO5"/>
  <c r="BW5"/>
  <c r="AP7"/>
  <c r="BO7"/>
  <c r="BW7"/>
  <c r="BG9"/>
  <c r="BP9"/>
  <c r="CG10"/>
  <c r="AP33"/>
  <c r="CR33"/>
  <c r="AP34"/>
  <c r="AK43"/>
  <c r="BT91"/>
  <c r="BT5" s="1"/>
  <c r="CH91"/>
  <c r="CL100"/>
  <c r="CJ110"/>
  <c r="BT131"/>
  <c r="BT7" s="1"/>
  <c r="CH131"/>
  <c r="CL140"/>
  <c r="CJ150"/>
  <c r="BT171"/>
  <c r="BT9" s="1"/>
  <c r="CH171"/>
  <c r="CL180"/>
  <c r="AH60"/>
  <c r="BX60"/>
  <c r="BG91"/>
  <c r="BG111"/>
  <c r="BG131"/>
  <c r="BG151"/>
  <c r="BG171"/>
  <c r="BG191"/>
  <c r="BQ60"/>
  <c r="E34" i="62"/>
  <c r="BN50"/>
  <c r="BN190"/>
  <c r="BN170"/>
  <c r="BN150"/>
  <c r="BN130"/>
  <c r="BN110"/>
  <c r="BN90"/>
  <c r="BN70"/>
  <c r="BS50"/>
  <c r="BS190"/>
  <c r="BS170"/>
  <c r="BS150"/>
  <c r="BS130"/>
  <c r="BS110"/>
  <c r="BS90"/>
  <c r="BS70"/>
  <c r="CI33"/>
  <c r="CI190"/>
  <c r="CI150"/>
  <c r="CI110"/>
  <c r="BN111"/>
  <c r="AU6"/>
  <c r="CI191"/>
  <c r="BU191"/>
  <c r="BU10" s="1"/>
  <c r="BZ191"/>
  <c r="BZ10" s="1"/>
  <c r="AQ189"/>
  <c r="BN10"/>
  <c r="BV50"/>
  <c r="BV190"/>
  <c r="BV150"/>
  <c r="BV110"/>
  <c r="BV70"/>
  <c r="BV33"/>
  <c r="BV170"/>
  <c r="BV130"/>
  <c r="BV90"/>
  <c r="AJ123"/>
  <c r="AM123"/>
  <c r="AK123"/>
  <c r="BB37"/>
  <c r="BB38"/>
  <c r="BB35" a="1"/>
  <c r="BB35" s="1"/>
  <c r="BB34" a="1"/>
  <c r="BB34" s="1"/>
  <c r="BJ34"/>
  <c r="F33"/>
  <c r="AV190"/>
  <c r="AV170"/>
  <c r="AV150"/>
  <c r="AV130"/>
  <c r="AV110"/>
  <c r="AV90"/>
  <c r="AV70"/>
  <c r="BO190"/>
  <c r="BO170"/>
  <c r="BO150"/>
  <c r="BO130"/>
  <c r="BO110"/>
  <c r="BO90"/>
  <c r="BO70"/>
  <c r="BO33"/>
  <c r="BO50"/>
  <c r="AJ63"/>
  <c r="AM63"/>
  <c r="AK63"/>
  <c r="BM71" s="1"/>
  <c r="AJ83"/>
  <c r="AM83"/>
  <c r="AK83"/>
  <c r="AJ103"/>
  <c r="AM103"/>
  <c r="AK103"/>
  <c r="AL103"/>
  <c r="AJ163"/>
  <c r="AM163"/>
  <c r="AK163"/>
  <c r="CN171"/>
  <c r="CN9" s="1"/>
  <c r="CG9"/>
  <c r="AJ183"/>
  <c r="AM183"/>
  <c r="AK183"/>
  <c r="AL183"/>
  <c r="CI170"/>
  <c r="CD1"/>
  <c r="AU10"/>
  <c r="CR33"/>
  <c r="CY1"/>
  <c r="AP33"/>
  <c r="BS33"/>
  <c r="AZ35" a="1"/>
  <c r="AZ35" s="1"/>
  <c r="AZ34" a="1"/>
  <c r="AZ34" s="1"/>
  <c r="AZ36" s="1"/>
  <c r="BB39" a="1"/>
  <c r="BB39" s="1"/>
  <c r="CA131"/>
  <c r="CA7" s="1"/>
  <c r="CH131"/>
  <c r="BT131"/>
  <c r="BT7" s="1"/>
  <c r="CB131"/>
  <c r="CB7" s="1"/>
  <c r="CJ8"/>
  <c r="CQ151"/>
  <c r="CQ8" s="1"/>
  <c r="CY34"/>
  <c r="CD34"/>
  <c r="CK33"/>
  <c r="BP34"/>
  <c r="CD33"/>
  <c r="BG33"/>
  <c r="CR1"/>
  <c r="BP1"/>
  <c r="Z1"/>
  <c r="CR34"/>
  <c r="CK34"/>
  <c r="BW34"/>
  <c r="CY33"/>
  <c r="BP33"/>
  <c r="CK1"/>
  <c r="BG1"/>
  <c r="AP34"/>
  <c r="BW33"/>
  <c r="CH190"/>
  <c r="CH170"/>
  <c r="CH150"/>
  <c r="CH130"/>
  <c r="CH110"/>
  <c r="CH90"/>
  <c r="CH70"/>
  <c r="CH50"/>
  <c r="CQ190"/>
  <c r="CQ170"/>
  <c r="CQ150"/>
  <c r="CQ130"/>
  <c r="CQ110"/>
  <c r="CQ90"/>
  <c r="CQ70"/>
  <c r="CQ33"/>
  <c r="AY39" a="1"/>
  <c r="AY39" s="1"/>
  <c r="AY38"/>
  <c r="AY35" a="1"/>
  <c r="AY35" s="1"/>
  <c r="AY34" a="1"/>
  <c r="AY34" s="1"/>
  <c r="BI39"/>
  <c r="E39" s="1"/>
  <c r="BI37"/>
  <c r="AJ143"/>
  <c r="AM143"/>
  <c r="AK143"/>
  <c r="AL143"/>
  <c r="CA191"/>
  <c r="CA10" s="1"/>
  <c r="CH191"/>
  <c r="BT191"/>
  <c r="BT10" s="1"/>
  <c r="BM10"/>
  <c r="CB191"/>
  <c r="CB10" s="1"/>
  <c r="AS190"/>
  <c r="AS150"/>
  <c r="AS110"/>
  <c r="AS50"/>
  <c r="CP50"/>
  <c r="CP190"/>
  <c r="CP170"/>
  <c r="CP150"/>
  <c r="CP130"/>
  <c r="CP110"/>
  <c r="CP90"/>
  <c r="CP70"/>
  <c r="CP33"/>
  <c r="AJ43"/>
  <c r="AK43"/>
  <c r="AT4"/>
  <c r="CA91"/>
  <c r="CA5" s="1"/>
  <c r="CH91"/>
  <c r="BT91"/>
  <c r="BT5" s="1"/>
  <c r="CB91"/>
  <c r="CB5" s="1"/>
  <c r="CQ111"/>
  <c r="CQ6" s="1"/>
  <c r="CJ6"/>
  <c r="BN151"/>
  <c r="AU8"/>
  <c r="CA171"/>
  <c r="CA9" s="1"/>
  <c r="CH171"/>
  <c r="BT171"/>
  <c r="BT9" s="1"/>
  <c r="CB171"/>
  <c r="CB9" s="1"/>
  <c r="BM9"/>
  <c r="BN33"/>
  <c r="CI70"/>
  <c r="CI90"/>
  <c r="CI50"/>
  <c r="CQ50"/>
  <c r="AL123"/>
  <c r="AS130"/>
  <c r="CI130"/>
  <c r="CC191"/>
  <c r="CC10" s="1"/>
  <c r="CR111"/>
  <c r="CD111"/>
  <c r="AP111"/>
  <c r="Z102"/>
  <c r="CR151"/>
  <c r="CD151"/>
  <c r="AP151"/>
  <c r="Z142"/>
  <c r="CR191"/>
  <c r="CD191"/>
  <c r="AP191"/>
  <c r="Z182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BA39" a="1"/>
  <c r="BA39" s="1"/>
  <c r="BA37"/>
  <c r="BA35" a="1"/>
  <c r="BA35" s="1"/>
  <c r="Z62"/>
  <c r="CR71"/>
  <c r="CD71"/>
  <c r="AP71"/>
  <c r="A62"/>
  <c r="CI91"/>
  <c r="BU91"/>
  <c r="BU5" s="1"/>
  <c r="BZ91"/>
  <c r="BZ5" s="1"/>
  <c r="AQ89"/>
  <c r="CI131"/>
  <c r="BU131"/>
  <c r="BU7" s="1"/>
  <c r="BZ131"/>
  <c r="BZ7" s="1"/>
  <c r="AQ129"/>
  <c r="CI171"/>
  <c r="BU171"/>
  <c r="BU9" s="1"/>
  <c r="BZ171"/>
  <c r="BZ9" s="1"/>
  <c r="AQ169"/>
  <c r="BP111"/>
  <c r="BV131"/>
  <c r="BV7" s="1"/>
  <c r="BP151"/>
  <c r="BV171"/>
  <c r="BV9" s="1"/>
  <c r="BP191"/>
  <c r="AS3"/>
  <c r="BL5"/>
  <c r="BL7"/>
  <c r="AU33"/>
  <c r="BL33"/>
  <c r="CJ33"/>
  <c r="BA34" a="1"/>
  <c r="BA34" s="1"/>
  <c r="BA38"/>
  <c r="AZ39" a="1"/>
  <c r="AZ39" s="1"/>
  <c r="BU50"/>
  <c r="BL70"/>
  <c r="BU70"/>
  <c r="BW71"/>
  <c r="BL90"/>
  <c r="BU90"/>
  <c r="BS91"/>
  <c r="BS5" s="1"/>
  <c r="CC91"/>
  <c r="CC5" s="1"/>
  <c r="CJ91"/>
  <c r="CN110"/>
  <c r="BM111"/>
  <c r="BW111"/>
  <c r="BL130"/>
  <c r="BU130"/>
  <c r="BS131"/>
  <c r="BS7" s="1"/>
  <c r="CC131"/>
  <c r="CC7" s="1"/>
  <c r="CJ131"/>
  <c r="CN150"/>
  <c r="BM151"/>
  <c r="BW151"/>
  <c r="BL170"/>
  <c r="BU170"/>
  <c r="BS171"/>
  <c r="BS9" s="1"/>
  <c r="CC171"/>
  <c r="CC9" s="1"/>
  <c r="CJ171"/>
  <c r="CN190"/>
  <c r="BW191"/>
  <c r="BT190"/>
  <c r="BT170"/>
  <c r="BT150"/>
  <c r="BT130"/>
  <c r="BT110"/>
  <c r="BT90"/>
  <c r="BT70"/>
  <c r="AS71"/>
  <c r="AV71"/>
  <c r="CR91"/>
  <c r="CD91"/>
  <c r="AP91"/>
  <c r="Z82"/>
  <c r="CR131"/>
  <c r="CD131"/>
  <c r="AP131"/>
  <c r="Z122"/>
  <c r="CR171"/>
  <c r="CD171"/>
  <c r="AP171"/>
  <c r="Z162"/>
  <c r="BV91"/>
  <c r="BV5" s="1"/>
  <c r="BI35" a="1"/>
  <c r="BI35" s="1"/>
  <c r="E35" s="1"/>
  <c r="BO5"/>
  <c r="E7"/>
  <c r="BO7"/>
  <c r="E9"/>
  <c r="BL9"/>
  <c r="CG10"/>
  <c r="AT33"/>
  <c r="BT33"/>
  <c r="AZ37"/>
  <c r="BI38"/>
  <c r="E38" s="1"/>
  <c r="BT50"/>
  <c r="AT70"/>
  <c r="CJ70"/>
  <c r="CO70"/>
  <c r="AU71"/>
  <c r="AT90"/>
  <c r="CJ90"/>
  <c r="CO90"/>
  <c r="BP91"/>
  <c r="BM110"/>
  <c r="BG111"/>
  <c r="BV111"/>
  <c r="BV6" s="1"/>
  <c r="CK111"/>
  <c r="AT130"/>
  <c r="CJ130"/>
  <c r="CO130"/>
  <c r="BP131"/>
  <c r="BM150"/>
  <c r="BG151"/>
  <c r="BV151"/>
  <c r="BV8" s="1"/>
  <c r="CK151"/>
  <c r="AT170"/>
  <c r="CJ170"/>
  <c r="CO170"/>
  <c r="BP171"/>
  <c r="BM190"/>
  <c r="BG191"/>
  <c r="BV191"/>
  <c r="BV10" s="1"/>
  <c r="CK191"/>
  <c r="AU51"/>
  <c r="BW51"/>
  <c r="CK51"/>
  <c r="BJ60"/>
  <c r="CL60"/>
  <c r="BQ80"/>
  <c r="CS80"/>
  <c r="BQ100"/>
  <c r="CS100"/>
  <c r="BQ120"/>
  <c r="CS120"/>
  <c r="BQ140"/>
  <c r="CS140"/>
  <c r="BQ160"/>
  <c r="CS160"/>
  <c r="BQ180"/>
  <c r="CS180"/>
  <c r="BQ200"/>
  <c r="CS200"/>
  <c r="A42"/>
  <c r="AP51"/>
  <c r="CD51"/>
  <c r="BQ60"/>
  <c r="AH80"/>
  <c r="AH100"/>
  <c r="AH120"/>
  <c r="AH140"/>
  <c r="AH160"/>
  <c r="AH180"/>
  <c r="AH200"/>
  <c r="B40" i="61"/>
  <c r="CT39"/>
  <c r="CM39"/>
  <c r="CF39"/>
  <c r="BY39"/>
  <c r="BR39"/>
  <c r="BK39"/>
  <c r="BG39"/>
  <c r="AX39"/>
  <c r="D39"/>
  <c r="CT38"/>
  <c r="CM38"/>
  <c r="CF38"/>
  <c r="BY38"/>
  <c r="BR38"/>
  <c r="BK38"/>
  <c r="BG38"/>
  <c r="D38" s="1"/>
  <c r="AX38"/>
  <c r="CT37"/>
  <c r="CM37"/>
  <c r="CF37"/>
  <c r="BY37"/>
  <c r="BR37"/>
  <c r="BK37"/>
  <c r="BG37"/>
  <c r="D37" s="1"/>
  <c r="AX37"/>
  <c r="BG36"/>
  <c r="D36"/>
  <c r="BG35"/>
  <c r="D35" s="1"/>
  <c r="CY34"/>
  <c r="CT34"/>
  <c r="CR34"/>
  <c r="CM34"/>
  <c r="CK34"/>
  <c r="CF34"/>
  <c r="CD34"/>
  <c r="BY34"/>
  <c r="BW34"/>
  <c r="BR34"/>
  <c r="AI13" s="1"/>
  <c r="BQ34"/>
  <c r="BP34"/>
  <c r="BK34"/>
  <c r="BG34"/>
  <c r="AX34"/>
  <c r="AP34"/>
  <c r="D34"/>
  <c r="CY33"/>
  <c r="CW33"/>
  <c r="CV33"/>
  <c r="CT33"/>
  <c r="CS33"/>
  <c r="CS34" s="1"/>
  <c r="CR33"/>
  <c r="CO33"/>
  <c r="CN33"/>
  <c r="CM33"/>
  <c r="CL33"/>
  <c r="CL34" s="1"/>
  <c r="CK33"/>
  <c r="CJ33"/>
  <c r="CG33"/>
  <c r="CD33"/>
  <c r="CC33"/>
  <c r="CB33"/>
  <c r="BY33"/>
  <c r="BX33"/>
  <c r="BX34" s="1"/>
  <c r="BW33"/>
  <c r="BU33"/>
  <c r="BT33"/>
  <c r="BR33"/>
  <c r="BQ33"/>
  <c r="BP33"/>
  <c r="BM33"/>
  <c r="BL33"/>
  <c r="BI33"/>
  <c r="BH33"/>
  <c r="BG33"/>
  <c r="AZ33"/>
  <c r="AY33"/>
  <c r="AU33"/>
  <c r="AT33"/>
  <c r="AP33"/>
  <c r="K33"/>
  <c r="J33"/>
  <c r="I33"/>
  <c r="H33"/>
  <c r="E33"/>
  <c r="C33"/>
  <c r="B33"/>
  <c r="E32"/>
  <c r="D32"/>
  <c r="B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AM12"/>
  <c r="AL12"/>
  <c r="AK12"/>
  <c r="AJ12"/>
  <c r="AI12"/>
  <c r="E12"/>
  <c r="D12"/>
  <c r="E11"/>
  <c r="D11"/>
  <c r="E10"/>
  <c r="D10"/>
  <c r="E9"/>
  <c r="D9"/>
  <c r="CE8"/>
  <c r="BC8"/>
  <c r="D8"/>
  <c r="CE7"/>
  <c r="BC7"/>
  <c r="D7"/>
  <c r="CE6"/>
  <c r="BC6"/>
  <c r="D6"/>
  <c r="CE5"/>
  <c r="BC5"/>
  <c r="D5"/>
  <c r="CE4"/>
  <c r="BC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D4"/>
  <c r="CE3"/>
  <c r="CE33" s="1"/>
  <c r="CE34" s="1"/>
  <c r="BC3"/>
  <c r="AI2"/>
  <c r="CF8" s="1"/>
  <c r="AH2"/>
  <c r="BJ7" s="1"/>
  <c r="CY1"/>
  <c r="CX33"/>
  <c r="CU33"/>
  <c r="CT1"/>
  <c r="CS1"/>
  <c r="CR1"/>
  <c r="CQ1"/>
  <c r="CQ33" s="1"/>
  <c r="CP1"/>
  <c r="CP33" s="1"/>
  <c r="CO1"/>
  <c r="CN1"/>
  <c r="CM1"/>
  <c r="CL1"/>
  <c r="CK1"/>
  <c r="CJ1"/>
  <c r="CI1"/>
  <c r="CI33" s="1"/>
  <c r="CH1"/>
  <c r="CH33" s="1"/>
  <c r="CG1"/>
  <c r="CF1"/>
  <c r="CE1"/>
  <c r="CD1"/>
  <c r="CA33"/>
  <c r="BZ33"/>
  <c r="BY1"/>
  <c r="BX1"/>
  <c r="BW1"/>
  <c r="BV1"/>
  <c r="BV33" s="1"/>
  <c r="BU1"/>
  <c r="BT1"/>
  <c r="BS1"/>
  <c r="BS33" s="1"/>
  <c r="BR1"/>
  <c r="BQ1"/>
  <c r="BP1"/>
  <c r="BO1"/>
  <c r="BO33" s="1"/>
  <c r="BN1"/>
  <c r="BN33" s="1"/>
  <c r="BM1"/>
  <c r="BL1"/>
  <c r="BK1"/>
  <c r="BJ1"/>
  <c r="BG1"/>
  <c r="BB1"/>
  <c r="BB33" s="1"/>
  <c r="BA1"/>
  <c r="BA33" s="1"/>
  <c r="AZ1"/>
  <c r="AY1"/>
  <c r="AX1"/>
  <c r="AW1"/>
  <c r="AV1"/>
  <c r="AV33" s="1"/>
  <c r="AU1"/>
  <c r="AT1"/>
  <c r="AS1"/>
  <c r="AS33" s="1"/>
  <c r="AP1"/>
  <c r="AA1"/>
  <c r="Z1"/>
  <c r="B200" i="60"/>
  <c r="BJ200" s="1"/>
  <c r="CA198"/>
  <c r="BM198"/>
  <c r="BL198"/>
  <c r="AV198"/>
  <c r="BO198" s="1"/>
  <c r="AT198"/>
  <c r="AS198"/>
  <c r="CR191"/>
  <c r="CK191"/>
  <c r="CH191"/>
  <c r="CG191"/>
  <c r="CN191" s="1"/>
  <c r="CN10" s="1"/>
  <c r="CF191"/>
  <c r="CE191"/>
  <c r="CD191"/>
  <c r="BW191"/>
  <c r="BT191"/>
  <c r="BT10" s="1"/>
  <c r="BS191"/>
  <c r="BS10" s="1"/>
  <c r="BM191"/>
  <c r="BK191"/>
  <c r="BJ191"/>
  <c r="BI191"/>
  <c r="BE191"/>
  <c r="BD191"/>
  <c r="BB191"/>
  <c r="BA191"/>
  <c r="AZ191"/>
  <c r="AY191"/>
  <c r="AY10" s="1"/>
  <c r="AX191"/>
  <c r="AW191"/>
  <c r="AV191"/>
  <c r="BO191" s="1"/>
  <c r="AU191"/>
  <c r="AT191"/>
  <c r="AS191"/>
  <c r="BL191" s="1"/>
  <c r="AP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S190"/>
  <c r="BR190"/>
  <c r="BQ190"/>
  <c r="BN190"/>
  <c r="BK190"/>
  <c r="BJ190"/>
  <c r="BB190"/>
  <c r="BA190"/>
  <c r="AZ190"/>
  <c r="AY190"/>
  <c r="AX190"/>
  <c r="AW190"/>
  <c r="G184"/>
  <c r="E183" s="1"/>
  <c r="AL183" s="1"/>
  <c r="E184"/>
  <c r="B184"/>
  <c r="AM183"/>
  <c r="AC183"/>
  <c r="G183"/>
  <c r="B183"/>
  <c r="BF191" s="1"/>
  <c r="BF10" s="1"/>
  <c r="AM182"/>
  <c r="AL182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180"/>
  <c r="BQ180" s="1"/>
  <c r="BM178"/>
  <c r="BL178"/>
  <c r="CA178" s="1"/>
  <c r="AV178"/>
  <c r="BO178" s="1"/>
  <c r="AT178"/>
  <c r="AS178"/>
  <c r="CR171"/>
  <c r="CK171"/>
  <c r="CF171"/>
  <c r="CE171"/>
  <c r="CD171"/>
  <c r="BZ171"/>
  <c r="BZ9" s="1"/>
  <c r="BW171"/>
  <c r="BN171"/>
  <c r="BM171"/>
  <c r="BK171"/>
  <c r="BJ171"/>
  <c r="BI171"/>
  <c r="BE171"/>
  <c r="BE9" s="1"/>
  <c r="BD171"/>
  <c r="BB171"/>
  <c r="BA171"/>
  <c r="AZ171"/>
  <c r="AY171"/>
  <c r="AX171"/>
  <c r="AW171"/>
  <c r="AV171"/>
  <c r="BO171" s="1"/>
  <c r="AU171"/>
  <c r="AT171"/>
  <c r="AS171"/>
  <c r="BL171" s="1"/>
  <c r="AP171"/>
  <c r="CD9" s="1"/>
  <c r="CX170"/>
  <c r="CW170"/>
  <c r="CV170"/>
  <c r="CU170"/>
  <c r="CT170"/>
  <c r="CS170"/>
  <c r="CP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U170"/>
  <c r="G164"/>
  <c r="E163" s="1"/>
  <c r="E164"/>
  <c r="B164"/>
  <c r="AC163"/>
  <c r="G163"/>
  <c r="B163"/>
  <c r="BF171" s="1"/>
  <c r="AM162"/>
  <c r="AL162"/>
  <c r="AK162"/>
  <c r="AJ162"/>
  <c r="Z162"/>
  <c r="G162"/>
  <c r="E162"/>
  <c r="BP171" s="1"/>
  <c r="D162"/>
  <c r="C162"/>
  <c r="A162"/>
  <c r="AM161"/>
  <c r="AL161"/>
  <c r="AK161"/>
  <c r="AJ161"/>
  <c r="G161"/>
  <c r="B161"/>
  <c r="B160"/>
  <c r="BJ160" s="1"/>
  <c r="CA158"/>
  <c r="BM158"/>
  <c r="BL158"/>
  <c r="AV158"/>
  <c r="BO158" s="1"/>
  <c r="AT158"/>
  <c r="AS158"/>
  <c r="CR151"/>
  <c r="CK151"/>
  <c r="CH151"/>
  <c r="CG151"/>
  <c r="CN151" s="1"/>
  <c r="CN8" s="1"/>
  <c r="CF151"/>
  <c r="CE151"/>
  <c r="CD151"/>
  <c r="BW151"/>
  <c r="BT151"/>
  <c r="BS151"/>
  <c r="BM151"/>
  <c r="BK151"/>
  <c r="BJ151"/>
  <c r="BJ8" s="1"/>
  <c r="BI151"/>
  <c r="BE151"/>
  <c r="BD151"/>
  <c r="BD8" s="1"/>
  <c r="BB151"/>
  <c r="BA151"/>
  <c r="AZ151"/>
  <c r="AY151"/>
  <c r="AX151"/>
  <c r="AW151"/>
  <c r="AV151"/>
  <c r="BO151" s="1"/>
  <c r="AU151"/>
  <c r="BN151" s="1"/>
  <c r="AQ149" s="1"/>
  <c r="AT151"/>
  <c r="AS151"/>
  <c r="BL151" s="1"/>
  <c r="AP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V150"/>
  <c r="BS150"/>
  <c r="BR150"/>
  <c r="BQ150"/>
  <c r="BN150"/>
  <c r="BK150"/>
  <c r="BJ150"/>
  <c r="BB150"/>
  <c r="BA150"/>
  <c r="AZ150"/>
  <c r="AY150"/>
  <c r="AX150"/>
  <c r="AW150"/>
  <c r="G144"/>
  <c r="E143" s="1"/>
  <c r="E144"/>
  <c r="B144"/>
  <c r="AM143"/>
  <c r="AC143"/>
  <c r="G143"/>
  <c r="B143"/>
  <c r="BF151" s="1"/>
  <c r="BF8" s="1"/>
  <c r="AM142"/>
  <c r="AL142"/>
  <c r="AK142"/>
  <c r="AJ142"/>
  <c r="Z142"/>
  <c r="G142"/>
  <c r="E142"/>
  <c r="BP151" s="1"/>
  <c r="D142"/>
  <c r="C142"/>
  <c r="C9" s="1"/>
  <c r="A142"/>
  <c r="AM141"/>
  <c r="AL141"/>
  <c r="AK141"/>
  <c r="AJ141"/>
  <c r="G141"/>
  <c r="B141"/>
  <c r="B140"/>
  <c r="BQ140" s="1"/>
  <c r="BM138"/>
  <c r="BL138"/>
  <c r="CA138" s="1"/>
  <c r="AV138"/>
  <c r="BO138" s="1"/>
  <c r="AT138"/>
  <c r="AS138"/>
  <c r="CR131"/>
  <c r="CK131"/>
  <c r="CF131"/>
  <c r="CE131"/>
  <c r="CD131"/>
  <c r="BW131"/>
  <c r="BN131"/>
  <c r="BM131"/>
  <c r="BK131"/>
  <c r="BJ131"/>
  <c r="BI131"/>
  <c r="BI7" s="1"/>
  <c r="BE131"/>
  <c r="BE7" s="1"/>
  <c r="BD131"/>
  <c r="BB131"/>
  <c r="BA131"/>
  <c r="AZ131"/>
  <c r="AZ7" s="1"/>
  <c r="AY131"/>
  <c r="AX131"/>
  <c r="AW131"/>
  <c r="AV131"/>
  <c r="BO131" s="1"/>
  <c r="AU131"/>
  <c r="AT131"/>
  <c r="AS131"/>
  <c r="BL131" s="1"/>
  <c r="AP131"/>
  <c r="CK7" s="1"/>
  <c r="CX130"/>
  <c r="CW130"/>
  <c r="CV130"/>
  <c r="CU130"/>
  <c r="CT130"/>
  <c r="CS130"/>
  <c r="CP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G124"/>
  <c r="E123" s="1"/>
  <c r="E124"/>
  <c r="B124"/>
  <c r="AC123"/>
  <c r="G123"/>
  <c r="B123"/>
  <c r="BF131" s="1"/>
  <c r="AM122"/>
  <c r="AL122"/>
  <c r="AK122"/>
  <c r="AJ122"/>
  <c r="Z122"/>
  <c r="G122"/>
  <c r="E122"/>
  <c r="BP131" s="1"/>
  <c r="D122"/>
  <c r="C122"/>
  <c r="A122"/>
  <c r="AM121"/>
  <c r="AL121"/>
  <c r="AK121"/>
  <c r="AJ121"/>
  <c r="G121"/>
  <c r="B121"/>
  <c r="CL120"/>
  <c r="BQ120"/>
  <c r="BJ120"/>
  <c r="B120"/>
  <c r="CA118"/>
  <c r="BM118"/>
  <c r="BL118"/>
  <c r="AV118"/>
  <c r="BO118" s="1"/>
  <c r="AT118"/>
  <c r="AS118"/>
  <c r="CR111"/>
  <c r="CK111"/>
  <c r="CH111"/>
  <c r="CG111"/>
  <c r="CN111" s="1"/>
  <c r="CF111"/>
  <c r="CE111"/>
  <c r="CD111"/>
  <c r="BW111"/>
  <c r="BT111"/>
  <c r="BT6" s="1"/>
  <c r="BS111"/>
  <c r="BM111"/>
  <c r="BK111"/>
  <c r="BJ111"/>
  <c r="BJ6" s="1"/>
  <c r="BI111"/>
  <c r="BE111"/>
  <c r="BD111"/>
  <c r="BD6" s="1"/>
  <c r="BB111"/>
  <c r="BA111"/>
  <c r="AZ111"/>
  <c r="AY111"/>
  <c r="AX111"/>
  <c r="AW111"/>
  <c r="AV111"/>
  <c r="BO111" s="1"/>
  <c r="AU111"/>
  <c r="BN111" s="1"/>
  <c r="AT111"/>
  <c r="AS111"/>
  <c r="BL111" s="1"/>
  <c r="AP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V110"/>
  <c r="BS110"/>
  <c r="BR110"/>
  <c r="BQ110"/>
  <c r="BN110"/>
  <c r="BK110"/>
  <c r="BJ110"/>
  <c r="BB110"/>
  <c r="BA110"/>
  <c r="AZ110"/>
  <c r="AY110"/>
  <c r="AX110"/>
  <c r="AW110"/>
  <c r="AQ109"/>
  <c r="G104"/>
  <c r="E103" s="1"/>
  <c r="E104"/>
  <c r="B104"/>
  <c r="AM103"/>
  <c r="AC103"/>
  <c r="G103"/>
  <c r="B103"/>
  <c r="BF111" s="1"/>
  <c r="AM102"/>
  <c r="AL102"/>
  <c r="AK102"/>
  <c r="AJ102"/>
  <c r="Z102"/>
  <c r="G102"/>
  <c r="E102"/>
  <c r="BP111" s="1"/>
  <c r="D102"/>
  <c r="C102"/>
  <c r="C7" s="1"/>
  <c r="A102"/>
  <c r="AM101"/>
  <c r="AL101"/>
  <c r="AK101"/>
  <c r="AJ101"/>
  <c r="G101"/>
  <c r="B101"/>
  <c r="BJ100"/>
  <c r="B100"/>
  <c r="BM98"/>
  <c r="BL98"/>
  <c r="CA98" s="1"/>
  <c r="AV98"/>
  <c r="BO98" s="1"/>
  <c r="AT98"/>
  <c r="AS98"/>
  <c r="CR91"/>
  <c r="CK91"/>
  <c r="CF91"/>
  <c r="CE91"/>
  <c r="CD91"/>
  <c r="BW91"/>
  <c r="BN91"/>
  <c r="BM91"/>
  <c r="BK91"/>
  <c r="BJ91"/>
  <c r="BI91"/>
  <c r="BI5" s="1"/>
  <c r="BE91"/>
  <c r="BE5" s="1"/>
  <c r="BD91"/>
  <c r="BB91"/>
  <c r="BA91"/>
  <c r="AZ91"/>
  <c r="AZ5" s="1"/>
  <c r="AY91"/>
  <c r="AX91"/>
  <c r="AW91"/>
  <c r="AV91"/>
  <c r="AU91"/>
  <c r="AT91"/>
  <c r="AS91"/>
  <c r="BL91" s="1"/>
  <c r="AP91"/>
  <c r="CX90"/>
  <c r="CW90"/>
  <c r="CV90"/>
  <c r="CU90"/>
  <c r="CT90"/>
  <c r="CS90"/>
  <c r="CP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U90"/>
  <c r="G84"/>
  <c r="E83" s="1"/>
  <c r="E84"/>
  <c r="B84"/>
  <c r="AC83"/>
  <c r="G83"/>
  <c r="B83"/>
  <c r="BF91" s="1"/>
  <c r="AM82"/>
  <c r="AL82"/>
  <c r="AK82"/>
  <c r="AJ82"/>
  <c r="Z82"/>
  <c r="G82"/>
  <c r="E82"/>
  <c r="BP91" s="1"/>
  <c r="D82"/>
  <c r="C82"/>
  <c r="A82"/>
  <c r="AM81"/>
  <c r="AL81"/>
  <c r="AK81"/>
  <c r="AJ81"/>
  <c r="G81"/>
  <c r="B81"/>
  <c r="BQ80"/>
  <c r="BJ80"/>
  <c r="B80"/>
  <c r="CL80" s="1"/>
  <c r="BM78"/>
  <c r="BL78"/>
  <c r="CA78" s="1"/>
  <c r="AV78"/>
  <c r="BO78" s="1"/>
  <c r="AT78"/>
  <c r="AS78"/>
  <c r="CF71"/>
  <c r="CE71"/>
  <c r="BK71"/>
  <c r="BJ71"/>
  <c r="BI71"/>
  <c r="BI4" s="1"/>
  <c r="BE71"/>
  <c r="BE4" s="1"/>
  <c r="BD71"/>
  <c r="BD4" s="1"/>
  <c r="BB71"/>
  <c r="BA71"/>
  <c r="BA4" s="1"/>
  <c r="AZ71"/>
  <c r="AZ4" s="1"/>
  <c r="AY71"/>
  <c r="AY4" s="1"/>
  <c r="AX71"/>
  <c r="AW71"/>
  <c r="CX70"/>
  <c r="CW70"/>
  <c r="CV70"/>
  <c r="CU70"/>
  <c r="CT70"/>
  <c r="CS70"/>
  <c r="CP70"/>
  <c r="CO70"/>
  <c r="CM70"/>
  <c r="CL70"/>
  <c r="CG70"/>
  <c r="CF70"/>
  <c r="CE70"/>
  <c r="CC70"/>
  <c r="CB70"/>
  <c r="CA70"/>
  <c r="BZ70"/>
  <c r="BY70"/>
  <c r="BX70"/>
  <c r="BR70"/>
  <c r="BQ70"/>
  <c r="BK70"/>
  <c r="BJ70"/>
  <c r="BB70"/>
  <c r="BA70"/>
  <c r="AZ70"/>
  <c r="AY70"/>
  <c r="AX70"/>
  <c r="AW70"/>
  <c r="G64"/>
  <c r="E63" s="1"/>
  <c r="E64"/>
  <c r="B64"/>
  <c r="AC63"/>
  <c r="G63"/>
  <c r="B63"/>
  <c r="BF71" s="1"/>
  <c r="G62"/>
  <c r="E62"/>
  <c r="A62" s="1"/>
  <c r="D62"/>
  <c r="C62"/>
  <c r="AM61"/>
  <c r="AL61"/>
  <c r="AK61"/>
  <c r="AJ61"/>
  <c r="G61"/>
  <c r="F5" s="1"/>
  <c r="B61"/>
  <c r="B5" s="1"/>
  <c r="BJ60"/>
  <c r="AQ60"/>
  <c r="B60"/>
  <c r="CS60" s="1"/>
  <c r="BL58"/>
  <c r="CA58" s="1"/>
  <c r="AV58"/>
  <c r="BO58" s="1"/>
  <c r="AT58"/>
  <c r="BM58" s="1"/>
  <c r="AS58"/>
  <c r="CF51"/>
  <c r="CE51"/>
  <c r="BK51"/>
  <c r="BJ51"/>
  <c r="BI51"/>
  <c r="BI3" s="1"/>
  <c r="BD51"/>
  <c r="BD3" s="1"/>
  <c r="BB51"/>
  <c r="BA51"/>
  <c r="BA3" s="1"/>
  <c r="AZ51"/>
  <c r="AY51"/>
  <c r="AY3" s="1"/>
  <c r="AX51"/>
  <c r="AW51"/>
  <c r="AW3" s="1"/>
  <c r="CX50"/>
  <c r="CW50"/>
  <c r="CV50"/>
  <c r="CU50"/>
  <c r="CT50"/>
  <c r="CS50"/>
  <c r="CM50"/>
  <c r="CL50"/>
  <c r="CJ50"/>
  <c r="CI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S50"/>
  <c r="G44"/>
  <c r="E43" s="1"/>
  <c r="E44"/>
  <c r="B44"/>
  <c r="AC43"/>
  <c r="G43"/>
  <c r="B43"/>
  <c r="BF51" s="1"/>
  <c r="BF33" s="1"/>
  <c r="BF34" s="1"/>
  <c r="G42"/>
  <c r="E42"/>
  <c r="CK51" s="1"/>
  <c r="D42"/>
  <c r="BE51" s="1"/>
  <c r="BE3" s="1"/>
  <c r="C42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F34"/>
  <c r="BY34"/>
  <c r="BR34"/>
  <c r="AI18" s="1"/>
  <c r="BQ34"/>
  <c r="BK34"/>
  <c r="BG34"/>
  <c r="AX34"/>
  <c r="D34"/>
  <c r="CX33"/>
  <c r="CW33"/>
  <c r="CV33"/>
  <c r="CU33"/>
  <c r="CN33"/>
  <c r="CJ33"/>
  <c r="CH33"/>
  <c r="CC33"/>
  <c r="CB33"/>
  <c r="CA33"/>
  <c r="BZ33"/>
  <c r="BY33"/>
  <c r="BU33"/>
  <c r="BN33"/>
  <c r="BJ33"/>
  <c r="F33" s="1"/>
  <c r="BI33"/>
  <c r="BH33"/>
  <c r="BA33"/>
  <c r="AS33"/>
  <c r="K33"/>
  <c r="J33"/>
  <c r="I33"/>
  <c r="H33"/>
  <c r="E33"/>
  <c r="AM17"/>
  <c r="AL17"/>
  <c r="AK17"/>
  <c r="AJ17"/>
  <c r="F11"/>
  <c r="E11"/>
  <c r="D11"/>
  <c r="B11"/>
  <c r="CY10"/>
  <c r="CT10"/>
  <c r="CS10"/>
  <c r="CR10"/>
  <c r="CM10"/>
  <c r="CL10"/>
  <c r="CK10"/>
  <c r="CG10"/>
  <c r="CF10"/>
  <c r="CE10"/>
  <c r="CD10"/>
  <c r="BY10"/>
  <c r="BX10"/>
  <c r="BW10"/>
  <c r="BR10"/>
  <c r="BQ10"/>
  <c r="BP10"/>
  <c r="BO10"/>
  <c r="BM10"/>
  <c r="BL10"/>
  <c r="BK10"/>
  <c r="BJ10"/>
  <c r="BI10"/>
  <c r="BG10"/>
  <c r="BE10"/>
  <c r="BD10"/>
  <c r="BC10"/>
  <c r="BB10"/>
  <c r="BA10"/>
  <c r="AZ10"/>
  <c r="AX10"/>
  <c r="AW10"/>
  <c r="AV10"/>
  <c r="AT10"/>
  <c r="AS10"/>
  <c r="AR10"/>
  <c r="AQ10"/>
  <c r="AP10"/>
  <c r="F10"/>
  <c r="E10"/>
  <c r="D10"/>
  <c r="C10"/>
  <c r="B10"/>
  <c r="CT9"/>
  <c r="CS9"/>
  <c r="CR9"/>
  <c r="CM9"/>
  <c r="CL9"/>
  <c r="CK9"/>
  <c r="CF9"/>
  <c r="CE9"/>
  <c r="BY9"/>
  <c r="BX9"/>
  <c r="BR9"/>
  <c r="BQ9"/>
  <c r="BP9"/>
  <c r="BM9"/>
  <c r="BL9"/>
  <c r="BK9"/>
  <c r="BJ9"/>
  <c r="BI9"/>
  <c r="BG9"/>
  <c r="BF9"/>
  <c r="BD9"/>
  <c r="BC9"/>
  <c r="BB9"/>
  <c r="BA9"/>
  <c r="AZ9"/>
  <c r="AY9"/>
  <c r="AX9"/>
  <c r="AW9"/>
  <c r="AV9"/>
  <c r="AU9"/>
  <c r="AT9"/>
  <c r="AS9"/>
  <c r="AR9"/>
  <c r="AQ9"/>
  <c r="F9"/>
  <c r="E9"/>
  <c r="D9"/>
  <c r="B9"/>
  <c r="CY8"/>
  <c r="CT8"/>
  <c r="CS8"/>
  <c r="CR8"/>
  <c r="CM8"/>
  <c r="CL8"/>
  <c r="CK8"/>
  <c r="CF8"/>
  <c r="CE8"/>
  <c r="CD8"/>
  <c r="BY8"/>
  <c r="BX8"/>
  <c r="BW8"/>
  <c r="BT8"/>
  <c r="BS8"/>
  <c r="BR8"/>
  <c r="BQ8"/>
  <c r="BP8"/>
  <c r="BO8"/>
  <c r="BM8"/>
  <c r="BL8"/>
  <c r="BK8"/>
  <c r="BI8"/>
  <c r="BG8"/>
  <c r="BE8"/>
  <c r="BC8"/>
  <c r="BB8"/>
  <c r="BA8"/>
  <c r="AZ8"/>
  <c r="AY8"/>
  <c r="AX8"/>
  <c r="AW8"/>
  <c r="AV8"/>
  <c r="AU8"/>
  <c r="AT8"/>
  <c r="AS8"/>
  <c r="AR8"/>
  <c r="AQ8"/>
  <c r="AP8"/>
  <c r="F8"/>
  <c r="E8"/>
  <c r="D8"/>
  <c r="C8"/>
  <c r="B8"/>
  <c r="CY7"/>
  <c r="CT7"/>
  <c r="CS7"/>
  <c r="CR7"/>
  <c r="CM7"/>
  <c r="CL7"/>
  <c r="CF7"/>
  <c r="CE7"/>
  <c r="BY7"/>
  <c r="BX7"/>
  <c r="BW7"/>
  <c r="BR7"/>
  <c r="BQ7"/>
  <c r="BP7"/>
  <c r="BO7"/>
  <c r="BL7"/>
  <c r="BK7"/>
  <c r="BJ7"/>
  <c r="BG7"/>
  <c r="BF7"/>
  <c r="BD7"/>
  <c r="BC7"/>
  <c r="BB7"/>
  <c r="BA7"/>
  <c r="AY7"/>
  <c r="AX7"/>
  <c r="AW7"/>
  <c r="AU7"/>
  <c r="AT7"/>
  <c r="AS7"/>
  <c r="AR7"/>
  <c r="AQ7"/>
  <c r="AP7"/>
  <c r="F7"/>
  <c r="E7"/>
  <c r="D7"/>
  <c r="B7"/>
  <c r="CY6"/>
  <c r="CT6"/>
  <c r="CS6"/>
  <c r="CR6"/>
  <c r="CN6"/>
  <c r="CM6"/>
  <c r="CL6"/>
  <c r="CK6"/>
  <c r="CF6"/>
  <c r="CE6"/>
  <c r="CD6"/>
  <c r="BY6"/>
  <c r="BX6"/>
  <c r="BW6"/>
  <c r="BS6"/>
  <c r="BR6"/>
  <c r="BQ6"/>
  <c r="BP6"/>
  <c r="BO6"/>
  <c r="BM6"/>
  <c r="BL6"/>
  <c r="BK6"/>
  <c r="BI6"/>
  <c r="BG6"/>
  <c r="BF6"/>
  <c r="BE6"/>
  <c r="BC6"/>
  <c r="BB6"/>
  <c r="BA6"/>
  <c r="AZ6"/>
  <c r="AY6"/>
  <c r="AY35" s="1" a="1"/>
  <c r="AY35" s="1"/>
  <c r="AX6"/>
  <c r="AW6"/>
  <c r="AV6"/>
  <c r="AU6"/>
  <c r="AT6"/>
  <c r="AS6"/>
  <c r="AR6"/>
  <c r="AQ6"/>
  <c r="AP6"/>
  <c r="F6"/>
  <c r="E6"/>
  <c r="D6"/>
  <c r="C6"/>
  <c r="B6"/>
  <c r="CY5"/>
  <c r="CT5"/>
  <c r="CS5"/>
  <c r="CR5"/>
  <c r="CM5"/>
  <c r="CL5"/>
  <c r="CF5"/>
  <c r="CE5"/>
  <c r="BY5"/>
  <c r="BX5"/>
  <c r="BW5"/>
  <c r="BR5"/>
  <c r="BQ5"/>
  <c r="BL5"/>
  <c r="BK5"/>
  <c r="BJ5"/>
  <c r="BG5"/>
  <c r="BF5"/>
  <c r="BD5"/>
  <c r="BC5"/>
  <c r="BB5"/>
  <c r="BA5"/>
  <c r="AY5"/>
  <c r="AX5"/>
  <c r="AW5"/>
  <c r="AU5"/>
  <c r="AT5"/>
  <c r="AS5"/>
  <c r="AR5"/>
  <c r="AQ5"/>
  <c r="AP5"/>
  <c r="D5"/>
  <c r="C5"/>
  <c r="CT4"/>
  <c r="CS4"/>
  <c r="CM4"/>
  <c r="CL4"/>
  <c r="CF4"/>
  <c r="CE4"/>
  <c r="BY4"/>
  <c r="BX4"/>
  <c r="BR4"/>
  <c r="BQ4"/>
  <c r="BK4"/>
  <c r="BJ4"/>
  <c r="BF4"/>
  <c r="BC4"/>
  <c r="BB4"/>
  <c r="BB34" s="1" a="1"/>
  <c r="BB34" s="1"/>
  <c r="AX4"/>
  <c r="AW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4"/>
  <c r="CT3"/>
  <c r="CT33" s="1"/>
  <c r="CS3"/>
  <c r="CS33" s="1"/>
  <c r="CS34" s="1"/>
  <c r="CM3"/>
  <c r="CM33" s="1"/>
  <c r="CL3"/>
  <c r="CL33" s="1"/>
  <c r="CL34" s="1"/>
  <c r="CF3"/>
  <c r="CF33" s="1"/>
  <c r="CE3"/>
  <c r="CE33" s="1"/>
  <c r="CE34" s="1"/>
  <c r="BY3"/>
  <c r="BX3"/>
  <c r="BX33" s="1"/>
  <c r="BX34" s="1"/>
  <c r="BR3"/>
  <c r="BR33" s="1"/>
  <c r="AI17" s="1"/>
  <c r="BQ3"/>
  <c r="BQ33" s="1"/>
  <c r="BK3"/>
  <c r="BK33" s="1"/>
  <c r="G33" s="1"/>
  <c r="BJ3"/>
  <c r="BC3"/>
  <c r="BB3"/>
  <c r="AZ3"/>
  <c r="AX3"/>
  <c r="AR3"/>
  <c r="AQ3"/>
  <c r="B2"/>
  <c r="B32" s="1"/>
  <c r="CT1"/>
  <c r="CS1"/>
  <c r="CQ1"/>
  <c r="CP1"/>
  <c r="CP50" s="1"/>
  <c r="CO1"/>
  <c r="CN1"/>
  <c r="CM1"/>
  <c r="CL1"/>
  <c r="CJ1"/>
  <c r="CI1"/>
  <c r="CH1"/>
  <c r="CG1"/>
  <c r="CG90" s="1"/>
  <c r="CF1"/>
  <c r="CE1"/>
  <c r="BY1"/>
  <c r="BX1"/>
  <c r="BV1"/>
  <c r="BV170" s="1"/>
  <c r="BU1"/>
  <c r="BT1"/>
  <c r="BT33" s="1"/>
  <c r="BS1"/>
  <c r="BR1"/>
  <c r="BQ1"/>
  <c r="BO1"/>
  <c r="BN1"/>
  <c r="BN50" s="1"/>
  <c r="BM1"/>
  <c r="BL1"/>
  <c r="BK1"/>
  <c r="BJ1"/>
  <c r="BB1"/>
  <c r="BB33" s="1"/>
  <c r="BA1"/>
  <c r="AZ1"/>
  <c r="AZ33" s="1"/>
  <c r="AY1"/>
  <c r="AY33" s="1"/>
  <c r="AX1"/>
  <c r="AW1"/>
  <c r="AV1"/>
  <c r="AU1"/>
  <c r="AT1"/>
  <c r="AS1"/>
  <c r="AA1"/>
  <c r="E1"/>
  <c r="CD33" s="1"/>
  <c r="D1"/>
  <c r="C1"/>
  <c r="B1"/>
  <c r="B33" s="1"/>
  <c r="CL200" l="1"/>
  <c r="CL60"/>
  <c r="BJ140"/>
  <c r="BQ160"/>
  <c r="BJ180"/>
  <c r="BQ200"/>
  <c r="CL160"/>
  <c r="CE60"/>
  <c r="AT34" i="62" a="1"/>
  <c r="AT34" s="1"/>
  <c r="BM51"/>
  <c r="BM3" s="1"/>
  <c r="E5" i="60"/>
  <c r="BI38"/>
  <c r="E38" s="1"/>
  <c r="BP33"/>
  <c r="CK1"/>
  <c r="Z1"/>
  <c r="BG1"/>
  <c r="CR1"/>
  <c r="CD34"/>
  <c r="BL51" i="62"/>
  <c r="BL3" s="1"/>
  <c r="CJ5" i="64"/>
  <c r="CQ91"/>
  <c r="CQ5" s="1"/>
  <c r="BJ6" i="61"/>
  <c r="BJ3"/>
  <c r="BJ33" s="1"/>
  <c r="BK4"/>
  <c r="BJ5"/>
  <c r="BK8"/>
  <c r="BK5"/>
  <c r="BJ4"/>
  <c r="BK7"/>
  <c r="BJ8"/>
  <c r="BK3"/>
  <c r="BK33" s="1"/>
  <c r="G33" s="1"/>
  <c r="BK6"/>
  <c r="AZ36" i="66"/>
  <c r="AM63"/>
  <c r="AK63"/>
  <c r="BA36" i="65"/>
  <c r="AZ36"/>
  <c r="BM51"/>
  <c r="BM3" s="1"/>
  <c r="AJ43"/>
  <c r="AY36"/>
  <c r="CK3" i="64"/>
  <c r="CY3"/>
  <c r="BW3"/>
  <c r="CR3"/>
  <c r="BP3"/>
  <c r="BG3"/>
  <c r="CD3"/>
  <c r="AP3"/>
  <c r="BB36"/>
  <c r="BA36" i="63"/>
  <c r="BH39"/>
  <c r="BH34"/>
  <c r="AZ36"/>
  <c r="BF3" i="60"/>
  <c r="E4"/>
  <c r="BW34"/>
  <c r="CK34"/>
  <c r="BG51"/>
  <c r="BP51"/>
  <c r="BP1"/>
  <c r="C33"/>
  <c r="CD71"/>
  <c r="AP71"/>
  <c r="CD4" s="1"/>
  <c r="CR71"/>
  <c r="AZ37"/>
  <c r="AM43" i="62"/>
  <c r="BO51" s="1"/>
  <c r="BA36"/>
  <c r="AY36"/>
  <c r="AT38"/>
  <c r="AT36" s="1"/>
  <c r="AT35" a="1"/>
  <c r="AT35" s="1"/>
  <c r="BI36" i="66"/>
  <c r="E36" s="1"/>
  <c r="BZ51"/>
  <c r="BZ3" s="1"/>
  <c r="AQ49"/>
  <c r="BU51" s="1"/>
  <c r="BU3" s="1"/>
  <c r="CC51"/>
  <c r="CC3" s="1"/>
  <c r="CI51"/>
  <c r="BN3"/>
  <c r="CK8"/>
  <c r="CR8"/>
  <c r="BP8"/>
  <c r="BG8"/>
  <c r="CY8"/>
  <c r="BW8"/>
  <c r="CD8"/>
  <c r="AP8"/>
  <c r="CN191"/>
  <c r="CN10" s="1"/>
  <c r="CG10"/>
  <c r="CA71"/>
  <c r="CA4" s="1"/>
  <c r="BM4"/>
  <c r="CG51"/>
  <c r="BL3"/>
  <c r="CD9"/>
  <c r="CK9"/>
  <c r="CY9"/>
  <c r="AP9"/>
  <c r="BP9"/>
  <c r="BW9"/>
  <c r="CR9"/>
  <c r="BG9"/>
  <c r="CK5"/>
  <c r="CR5"/>
  <c r="BP5"/>
  <c r="BG5"/>
  <c r="CD5"/>
  <c r="AP5"/>
  <c r="CY5"/>
  <c r="BW5"/>
  <c r="CJ51"/>
  <c r="BO3"/>
  <c r="AR49"/>
  <c r="BN71"/>
  <c r="AU4"/>
  <c r="BO71"/>
  <c r="AV4"/>
  <c r="CU191"/>
  <c r="CU10" s="1"/>
  <c r="CX191"/>
  <c r="CX10" s="1"/>
  <c r="CP191"/>
  <c r="CP10" s="1"/>
  <c r="CI10"/>
  <c r="CU151"/>
  <c r="CU8" s="1"/>
  <c r="CX151"/>
  <c r="CX8" s="1"/>
  <c r="CP151"/>
  <c r="CP8" s="1"/>
  <c r="CI8"/>
  <c r="CU111"/>
  <c r="CU6" s="1"/>
  <c r="CX111"/>
  <c r="CX6" s="1"/>
  <c r="CP111"/>
  <c r="CP6" s="1"/>
  <c r="CI6"/>
  <c r="CN171"/>
  <c r="CN9" s="1"/>
  <c r="CG9"/>
  <c r="CK7"/>
  <c r="CR7"/>
  <c r="BP7"/>
  <c r="BG7"/>
  <c r="CD7"/>
  <c r="AP7"/>
  <c r="BW7"/>
  <c r="CY7"/>
  <c r="CO171"/>
  <c r="CO9" s="1"/>
  <c r="CV171"/>
  <c r="CV9" s="1"/>
  <c r="CH9"/>
  <c r="CW171"/>
  <c r="CW9" s="1"/>
  <c r="CN111"/>
  <c r="CN6" s="1"/>
  <c r="CG6"/>
  <c r="CO91"/>
  <c r="CO5" s="1"/>
  <c r="CV91"/>
  <c r="CV5" s="1"/>
  <c r="CW91"/>
  <c r="CW5" s="1"/>
  <c r="CH5"/>
  <c r="BB36"/>
  <c r="AY36"/>
  <c r="CN131"/>
  <c r="CN7" s="1"/>
  <c r="CG7"/>
  <c r="CN91"/>
  <c r="CN5" s="1"/>
  <c r="CG5"/>
  <c r="CY10"/>
  <c r="BW10"/>
  <c r="AP10"/>
  <c r="CR10"/>
  <c r="CD10"/>
  <c r="BP10"/>
  <c r="BG10"/>
  <c r="CK10"/>
  <c r="CK6"/>
  <c r="CR6"/>
  <c r="BP6"/>
  <c r="BG6"/>
  <c r="CD6"/>
  <c r="AP6"/>
  <c r="CY6"/>
  <c r="BW6"/>
  <c r="BL71"/>
  <c r="AS4"/>
  <c r="CN151"/>
  <c r="CN8" s="1"/>
  <c r="CG8"/>
  <c r="E37"/>
  <c r="F2" s="1"/>
  <c r="BH39"/>
  <c r="BH34"/>
  <c r="BH38"/>
  <c r="CO191"/>
  <c r="CO10" s="1"/>
  <c r="CW191"/>
  <c r="CW10" s="1"/>
  <c r="CH10"/>
  <c r="CV191"/>
  <c r="CV10" s="1"/>
  <c r="CO111"/>
  <c r="CO6" s="1"/>
  <c r="CW111"/>
  <c r="CW6" s="1"/>
  <c r="CH6"/>
  <c r="CV111"/>
  <c r="CV6" s="1"/>
  <c r="AT35" a="1"/>
  <c r="AT35" s="1"/>
  <c r="AT39" a="1"/>
  <c r="AT39" s="1"/>
  <c r="CH51"/>
  <c r="BT51"/>
  <c r="BT3" s="1"/>
  <c r="CB51"/>
  <c r="CB3" s="1"/>
  <c r="BM3"/>
  <c r="CA51"/>
  <c r="CA3" s="1"/>
  <c r="CR4"/>
  <c r="BP4"/>
  <c r="BG4"/>
  <c r="CY4"/>
  <c r="BW4"/>
  <c r="AP4"/>
  <c r="CD4"/>
  <c r="CK4"/>
  <c r="CU171"/>
  <c r="CU9" s="1"/>
  <c r="CX171"/>
  <c r="CX9" s="1"/>
  <c r="CI9"/>
  <c r="CP171"/>
  <c r="CP9" s="1"/>
  <c r="CU131"/>
  <c r="CU7" s="1"/>
  <c r="CX131"/>
  <c r="CX7" s="1"/>
  <c r="CP131"/>
  <c r="CP7" s="1"/>
  <c r="CI7"/>
  <c r="CU91"/>
  <c r="CU5" s="1"/>
  <c r="CX91"/>
  <c r="CX5" s="1"/>
  <c r="CP91"/>
  <c r="CP5" s="1"/>
  <c r="CI5"/>
  <c r="CO131"/>
  <c r="CO7" s="1"/>
  <c r="CV131"/>
  <c r="CV7" s="1"/>
  <c r="CW131"/>
  <c r="CW7" s="1"/>
  <c r="CH7"/>
  <c r="CO151"/>
  <c r="CO8" s="1"/>
  <c r="CW151"/>
  <c r="CW8" s="1"/>
  <c r="CH8"/>
  <c r="CV151"/>
  <c r="CV8" s="1"/>
  <c r="AT34" a="1"/>
  <c r="AT34" s="1"/>
  <c r="AT36" s="1"/>
  <c r="AT37"/>
  <c r="BA36"/>
  <c r="BO51" i="65"/>
  <c r="AV3"/>
  <c r="BL71"/>
  <c r="AS4"/>
  <c r="CQ151"/>
  <c r="CQ8" s="1"/>
  <c r="CJ8"/>
  <c r="BZ71"/>
  <c r="BZ4" s="1"/>
  <c r="AQ69"/>
  <c r="BU71" s="1"/>
  <c r="BU4" s="1"/>
  <c r="BN4"/>
  <c r="CC71"/>
  <c r="CC4" s="1"/>
  <c r="CU191"/>
  <c r="CU10" s="1"/>
  <c r="CP191"/>
  <c r="CP10" s="1"/>
  <c r="CX191"/>
  <c r="CX10" s="1"/>
  <c r="CI10"/>
  <c r="CU111"/>
  <c r="CU6" s="1"/>
  <c r="CP111"/>
  <c r="CP6" s="1"/>
  <c r="CX111"/>
  <c r="CX6" s="1"/>
  <c r="CI6"/>
  <c r="CU131"/>
  <c r="CU7" s="1"/>
  <c r="CP131"/>
  <c r="CP7" s="1"/>
  <c r="CI7"/>
  <c r="CX131"/>
  <c r="CX7" s="1"/>
  <c r="CQ111"/>
  <c r="CQ6" s="1"/>
  <c r="CJ6"/>
  <c r="CQ131"/>
  <c r="CQ7" s="1"/>
  <c r="CJ7"/>
  <c r="CU151"/>
  <c r="CU8" s="1"/>
  <c r="CP151"/>
  <c r="CP8" s="1"/>
  <c r="CX151"/>
  <c r="CX8" s="1"/>
  <c r="CI8"/>
  <c r="CD4"/>
  <c r="BG4"/>
  <c r="CY4"/>
  <c r="BW4"/>
  <c r="AP4"/>
  <c r="CR4"/>
  <c r="BP4"/>
  <c r="CK4"/>
  <c r="BH39"/>
  <c r="BH38"/>
  <c r="E37"/>
  <c r="F2" s="1"/>
  <c r="BH34"/>
  <c r="CJ5"/>
  <c r="CQ91"/>
  <c r="CQ5" s="1"/>
  <c r="CU171"/>
  <c r="CU9" s="1"/>
  <c r="CP171"/>
  <c r="CP9" s="1"/>
  <c r="CX171"/>
  <c r="CX9" s="1"/>
  <c r="CI9"/>
  <c r="CO111"/>
  <c r="CO6" s="1"/>
  <c r="CV111"/>
  <c r="CV6" s="1"/>
  <c r="CW111"/>
  <c r="CW6" s="1"/>
  <c r="CH6"/>
  <c r="BN51"/>
  <c r="AU3"/>
  <c r="BL51"/>
  <c r="AS3"/>
  <c r="CO191"/>
  <c r="CO10" s="1"/>
  <c r="CV191"/>
  <c r="CV10" s="1"/>
  <c r="CH10"/>
  <c r="CW191"/>
  <c r="CW10" s="1"/>
  <c r="CO151"/>
  <c r="CO8" s="1"/>
  <c r="CV151"/>
  <c r="CV8" s="1"/>
  <c r="CW151"/>
  <c r="CW8" s="1"/>
  <c r="CH8"/>
  <c r="CJ9"/>
  <c r="CQ171"/>
  <c r="CQ9" s="1"/>
  <c r="BM71"/>
  <c r="AT4"/>
  <c r="CU91"/>
  <c r="CU5" s="1"/>
  <c r="CP91"/>
  <c r="CP5" s="1"/>
  <c r="CI5"/>
  <c r="CX91"/>
  <c r="CX5" s="1"/>
  <c r="CQ191"/>
  <c r="CQ10" s="1"/>
  <c r="CJ10"/>
  <c r="AR69"/>
  <c r="CI71" s="1"/>
  <c r="BO4"/>
  <c r="CK3"/>
  <c r="AP3"/>
  <c r="CD3"/>
  <c r="CY3"/>
  <c r="BW3"/>
  <c r="CR3"/>
  <c r="BP3"/>
  <c r="BG3"/>
  <c r="BI36"/>
  <c r="E36" s="1"/>
  <c r="E34"/>
  <c r="BO71" i="64"/>
  <c r="AV4"/>
  <c r="BL3"/>
  <c r="CA51"/>
  <c r="CA3" s="1"/>
  <c r="BM3"/>
  <c r="CB51"/>
  <c r="CB3" s="1"/>
  <c r="CU191"/>
  <c r="CU10" s="1"/>
  <c r="CX191"/>
  <c r="CX10" s="1"/>
  <c r="CP191"/>
  <c r="CP10" s="1"/>
  <c r="CI10"/>
  <c r="CU151"/>
  <c r="CU8" s="1"/>
  <c r="CX151"/>
  <c r="CX8" s="1"/>
  <c r="CP151"/>
  <c r="CP8" s="1"/>
  <c r="CI8"/>
  <c r="CU111"/>
  <c r="CU6" s="1"/>
  <c r="CX111"/>
  <c r="CX6" s="1"/>
  <c r="CP111"/>
  <c r="CP6" s="1"/>
  <c r="CI6"/>
  <c r="AJ83"/>
  <c r="AM83"/>
  <c r="AL83"/>
  <c r="AK83"/>
  <c r="CY8"/>
  <c r="BW8"/>
  <c r="AP8"/>
  <c r="CR8"/>
  <c r="BP8"/>
  <c r="BG8"/>
  <c r="CD8"/>
  <c r="CK8"/>
  <c r="CO171"/>
  <c r="CO9" s="1"/>
  <c r="CV171"/>
  <c r="CV9" s="1"/>
  <c r="CW171"/>
  <c r="CW9" s="1"/>
  <c r="CH9"/>
  <c r="CK10"/>
  <c r="CD10"/>
  <c r="CY10"/>
  <c r="BP10"/>
  <c r="BW10"/>
  <c r="CR10"/>
  <c r="BG10"/>
  <c r="AP10"/>
  <c r="E34"/>
  <c r="BI36"/>
  <c r="E36" s="1"/>
  <c r="CA131"/>
  <c r="CA7" s="1"/>
  <c r="CH131"/>
  <c r="BT131"/>
  <c r="BT7" s="1"/>
  <c r="CB131"/>
  <c r="CB7" s="1"/>
  <c r="BM7"/>
  <c r="CI91"/>
  <c r="BU91"/>
  <c r="BU5" s="1"/>
  <c r="BZ91"/>
  <c r="BZ5" s="1"/>
  <c r="AQ89"/>
  <c r="CC91"/>
  <c r="CC5" s="1"/>
  <c r="BN5"/>
  <c r="CI131"/>
  <c r="BU131"/>
  <c r="BU7" s="1"/>
  <c r="BZ131"/>
  <c r="BZ7" s="1"/>
  <c r="AQ129"/>
  <c r="CC131"/>
  <c r="CC7" s="1"/>
  <c r="BN7"/>
  <c r="AJ163"/>
  <c r="AM163"/>
  <c r="AL163"/>
  <c r="AK163"/>
  <c r="CI171"/>
  <c r="BU171"/>
  <c r="BU9" s="1"/>
  <c r="BZ171"/>
  <c r="BZ9" s="1"/>
  <c r="AQ169"/>
  <c r="CC171"/>
  <c r="CC9" s="1"/>
  <c r="BN9"/>
  <c r="BO3"/>
  <c r="AR49"/>
  <c r="CJ51" s="1"/>
  <c r="BA36"/>
  <c r="CD4"/>
  <c r="CY4"/>
  <c r="BW4"/>
  <c r="AP4"/>
  <c r="CR4"/>
  <c r="BG4"/>
  <c r="CK4"/>
  <c r="BP4"/>
  <c r="CA91"/>
  <c r="CA5" s="1"/>
  <c r="CH91"/>
  <c r="BT91"/>
  <c r="BT5" s="1"/>
  <c r="BM5"/>
  <c r="CB91"/>
  <c r="CB5" s="1"/>
  <c r="BN71"/>
  <c r="AU4"/>
  <c r="BM71"/>
  <c r="AT4"/>
  <c r="BZ51"/>
  <c r="BZ3" s="1"/>
  <c r="AQ49"/>
  <c r="BS51" s="1"/>
  <c r="BS3" s="1"/>
  <c r="CC51"/>
  <c r="CC3" s="1"/>
  <c r="BN3"/>
  <c r="BU51"/>
  <c r="BU3" s="1"/>
  <c r="CR9"/>
  <c r="BP9"/>
  <c r="BG9"/>
  <c r="CK9"/>
  <c r="CD9"/>
  <c r="CY9"/>
  <c r="BW9"/>
  <c r="AP9"/>
  <c r="CY7"/>
  <c r="BW7"/>
  <c r="AP7"/>
  <c r="CR7"/>
  <c r="BP7"/>
  <c r="BG7"/>
  <c r="CD7"/>
  <c r="CK7"/>
  <c r="CY5"/>
  <c r="BW5"/>
  <c r="AP5"/>
  <c r="CR5"/>
  <c r="BP5"/>
  <c r="BG5"/>
  <c r="CK5"/>
  <c r="CD5"/>
  <c r="CO191"/>
  <c r="CO10" s="1"/>
  <c r="CH10"/>
  <c r="CV191"/>
  <c r="CV10" s="1"/>
  <c r="CW191"/>
  <c r="CW10" s="1"/>
  <c r="AS4"/>
  <c r="BL71"/>
  <c r="CO151"/>
  <c r="CO8" s="1"/>
  <c r="CV151"/>
  <c r="CV8" s="1"/>
  <c r="CH8"/>
  <c r="CW151"/>
  <c r="CW8" s="1"/>
  <c r="CY6"/>
  <c r="BW6"/>
  <c r="AP6"/>
  <c r="CR6"/>
  <c r="BP6"/>
  <c r="BG6"/>
  <c r="CD6"/>
  <c r="CK6"/>
  <c r="CO111"/>
  <c r="CO6" s="1"/>
  <c r="CV111"/>
  <c r="CV6" s="1"/>
  <c r="CH6"/>
  <c r="CW111"/>
  <c r="CW6" s="1"/>
  <c r="BL71" i="63"/>
  <c r="AS4"/>
  <c r="CU171"/>
  <c r="CU9" s="1"/>
  <c r="CP171"/>
  <c r="CP9" s="1"/>
  <c r="CI9"/>
  <c r="CX171"/>
  <c r="CX9" s="1"/>
  <c r="AU38"/>
  <c r="AU34" a="1"/>
  <c r="AU34" s="1"/>
  <c r="AU37"/>
  <c r="AU35" a="1"/>
  <c r="AU35" s="1"/>
  <c r="AU39" a="1"/>
  <c r="AU39" s="1"/>
  <c r="BI36"/>
  <c r="E36" s="1"/>
  <c r="E34"/>
  <c r="CO171"/>
  <c r="CO9" s="1"/>
  <c r="CV171"/>
  <c r="CV9" s="1"/>
  <c r="CW171"/>
  <c r="CW9" s="1"/>
  <c r="CH9"/>
  <c r="CO131"/>
  <c r="CO7" s="1"/>
  <c r="CV131"/>
  <c r="CV7" s="1"/>
  <c r="CH7"/>
  <c r="CW131"/>
  <c r="CW7" s="1"/>
  <c r="CO91"/>
  <c r="CO5" s="1"/>
  <c r="CV91"/>
  <c r="CV5" s="1"/>
  <c r="CW91"/>
  <c r="CW5" s="1"/>
  <c r="CH5"/>
  <c r="CJ7"/>
  <c r="CQ131"/>
  <c r="CQ7" s="1"/>
  <c r="CQ111"/>
  <c r="CQ6" s="1"/>
  <c r="CJ6"/>
  <c r="CJ5"/>
  <c r="CQ91"/>
  <c r="CQ5" s="1"/>
  <c r="CI151"/>
  <c r="BU151"/>
  <c r="BU8" s="1"/>
  <c r="BZ151"/>
  <c r="BZ8" s="1"/>
  <c r="CC151"/>
  <c r="CC8" s="1"/>
  <c r="BN8"/>
  <c r="AQ149"/>
  <c r="CI191"/>
  <c r="BU191"/>
  <c r="BU10" s="1"/>
  <c r="BZ191"/>
  <c r="BZ10" s="1"/>
  <c r="BN10"/>
  <c r="CC191"/>
  <c r="CC10" s="1"/>
  <c r="AQ189"/>
  <c r="AQ49"/>
  <c r="BU51"/>
  <c r="BU3" s="1"/>
  <c r="BN3"/>
  <c r="CN131"/>
  <c r="CN7" s="1"/>
  <c r="CG7"/>
  <c r="CK3"/>
  <c r="CR3"/>
  <c r="BP3"/>
  <c r="BG3"/>
  <c r="CY3"/>
  <c r="CD3"/>
  <c r="BW3"/>
  <c r="AP3"/>
  <c r="BO51"/>
  <c r="AV3"/>
  <c r="CG5"/>
  <c r="CN91"/>
  <c r="CN5" s="1"/>
  <c r="BM71"/>
  <c r="AT4"/>
  <c r="CJ10"/>
  <c r="CQ191"/>
  <c r="CQ10" s="1"/>
  <c r="CI111"/>
  <c r="BU111"/>
  <c r="BU6" s="1"/>
  <c r="BZ111"/>
  <c r="BZ6" s="1"/>
  <c r="BN6"/>
  <c r="CC111"/>
  <c r="CC6" s="1"/>
  <c r="AQ109"/>
  <c r="AS3"/>
  <c r="BL51"/>
  <c r="AR69"/>
  <c r="CJ71" s="1"/>
  <c r="BV71"/>
  <c r="BV4" s="1"/>
  <c r="BO4"/>
  <c r="CJ9"/>
  <c r="CQ171"/>
  <c r="CQ9" s="1"/>
  <c r="CQ151"/>
  <c r="CQ8" s="1"/>
  <c r="CJ8"/>
  <c r="CG9"/>
  <c r="CN171"/>
  <c r="CN9" s="1"/>
  <c r="CI71"/>
  <c r="BU71"/>
  <c r="BU4" s="1"/>
  <c r="BZ71"/>
  <c r="BZ4" s="1"/>
  <c r="AQ69"/>
  <c r="BN4"/>
  <c r="CC71"/>
  <c r="CC4" s="1"/>
  <c r="BM51"/>
  <c r="AT3"/>
  <c r="CU131"/>
  <c r="CU7" s="1"/>
  <c r="CP131"/>
  <c r="CP7" s="1"/>
  <c r="CI7"/>
  <c r="CX131"/>
  <c r="CX7" s="1"/>
  <c r="CU91"/>
  <c r="CU5" s="1"/>
  <c r="CP91"/>
  <c r="CP5" s="1"/>
  <c r="CI5"/>
  <c r="CX91"/>
  <c r="CX5" s="1"/>
  <c r="AY36"/>
  <c r="BB36"/>
  <c r="CA51" i="62"/>
  <c r="CA3" s="1"/>
  <c r="BM4"/>
  <c r="BO71"/>
  <c r="AV4"/>
  <c r="CD4"/>
  <c r="CY4"/>
  <c r="BW4"/>
  <c r="AP4"/>
  <c r="BP4"/>
  <c r="CK4"/>
  <c r="CR4"/>
  <c r="BG4"/>
  <c r="CK10"/>
  <c r="CD10"/>
  <c r="CY10"/>
  <c r="BP10"/>
  <c r="BW10"/>
  <c r="CR10"/>
  <c r="BG10"/>
  <c r="AP10"/>
  <c r="CY8"/>
  <c r="BW8"/>
  <c r="AP8"/>
  <c r="CR8"/>
  <c r="BP8"/>
  <c r="BG8"/>
  <c r="CK8"/>
  <c r="CD8"/>
  <c r="CY6"/>
  <c r="BW6"/>
  <c r="AP6"/>
  <c r="CR6"/>
  <c r="BP6"/>
  <c r="BG6"/>
  <c r="CD6"/>
  <c r="CK6"/>
  <c r="CO171"/>
  <c r="CO9" s="1"/>
  <c r="CV171"/>
  <c r="CV9" s="1"/>
  <c r="CW171"/>
  <c r="CW9" s="1"/>
  <c r="CH9"/>
  <c r="CO91"/>
  <c r="CO5" s="1"/>
  <c r="CV91"/>
  <c r="CV5" s="1"/>
  <c r="CW91"/>
  <c r="CW5" s="1"/>
  <c r="CH5"/>
  <c r="CO191"/>
  <c r="CO10" s="1"/>
  <c r="CW191"/>
  <c r="CW10" s="1"/>
  <c r="CH10"/>
  <c r="CV191"/>
  <c r="CV10" s="1"/>
  <c r="CI111"/>
  <c r="BU111"/>
  <c r="BU6" s="1"/>
  <c r="BZ111"/>
  <c r="BZ6" s="1"/>
  <c r="AQ109"/>
  <c r="CC111"/>
  <c r="CC6" s="1"/>
  <c r="BN6"/>
  <c r="CR9"/>
  <c r="BP9"/>
  <c r="BG9"/>
  <c r="CK9"/>
  <c r="AP9"/>
  <c r="BW9"/>
  <c r="CY9"/>
  <c r="CD9"/>
  <c r="CY7"/>
  <c r="BW7"/>
  <c r="AP7"/>
  <c r="CR7"/>
  <c r="BP7"/>
  <c r="BG7"/>
  <c r="CK7"/>
  <c r="CD7"/>
  <c r="CY5"/>
  <c r="BW5"/>
  <c r="AP5"/>
  <c r="CR5"/>
  <c r="BP5"/>
  <c r="BG5"/>
  <c r="CK5"/>
  <c r="CD5"/>
  <c r="BL71"/>
  <c r="AS4"/>
  <c r="AS38" s="1"/>
  <c r="CA151"/>
  <c r="CA8" s="1"/>
  <c r="CH151"/>
  <c r="BT151"/>
  <c r="BT8" s="1"/>
  <c r="CB151"/>
  <c r="CB8" s="1"/>
  <c r="BM8"/>
  <c r="CA111"/>
  <c r="CA6" s="1"/>
  <c r="CH111"/>
  <c r="BT111"/>
  <c r="BT6" s="1"/>
  <c r="CB111"/>
  <c r="CB6" s="1"/>
  <c r="BM6"/>
  <c r="AS39" a="1"/>
  <c r="AS39" s="1"/>
  <c r="CU191"/>
  <c r="CU10" s="1"/>
  <c r="CX191"/>
  <c r="CX10" s="1"/>
  <c r="CP191"/>
  <c r="CP10" s="1"/>
  <c r="CI10"/>
  <c r="BB36"/>
  <c r="AT37"/>
  <c r="BN71"/>
  <c r="AU4"/>
  <c r="CQ171"/>
  <c r="CQ9" s="1"/>
  <c r="CJ9"/>
  <c r="CQ131"/>
  <c r="CQ7" s="1"/>
  <c r="CJ7"/>
  <c r="CQ91"/>
  <c r="CQ5" s="1"/>
  <c r="CJ5"/>
  <c r="CK3"/>
  <c r="CD3"/>
  <c r="BG3"/>
  <c r="CY3"/>
  <c r="BP3"/>
  <c r="BW3"/>
  <c r="CR3"/>
  <c r="AP3"/>
  <c r="BN51"/>
  <c r="AU3"/>
  <c r="CU171"/>
  <c r="CU9" s="1"/>
  <c r="CX171"/>
  <c r="CX9" s="1"/>
  <c r="CP171"/>
  <c r="CP9" s="1"/>
  <c r="CI9"/>
  <c r="CU131"/>
  <c r="CU7" s="1"/>
  <c r="CX131"/>
  <c r="CX7" s="1"/>
  <c r="CI7"/>
  <c r="CP131"/>
  <c r="CP7" s="1"/>
  <c r="CU91"/>
  <c r="CU5" s="1"/>
  <c r="CX91"/>
  <c r="CX5" s="1"/>
  <c r="CI5"/>
  <c r="CP91"/>
  <c r="CP5" s="1"/>
  <c r="CI151"/>
  <c r="BU151"/>
  <c r="BU8" s="1"/>
  <c r="BZ151"/>
  <c r="BZ8" s="1"/>
  <c r="AQ149"/>
  <c r="BN8"/>
  <c r="CC151"/>
  <c r="CC8" s="1"/>
  <c r="E37"/>
  <c r="F2" s="1"/>
  <c r="BH34"/>
  <c r="BH39"/>
  <c r="BH38"/>
  <c r="CO131"/>
  <c r="CO7" s="1"/>
  <c r="CW131"/>
  <c r="CW7" s="1"/>
  <c r="CV131"/>
  <c r="CV7" s="1"/>
  <c r="CH7"/>
  <c r="BI36"/>
  <c r="E36" s="1"/>
  <c r="BJ34" i="61"/>
  <c r="F33"/>
  <c r="CF3"/>
  <c r="CF33" s="1"/>
  <c r="CF4"/>
  <c r="CF5"/>
  <c r="CF6"/>
  <c r="CF7"/>
  <c r="AT33" i="60"/>
  <c r="AT190"/>
  <c r="AT150"/>
  <c r="AT110"/>
  <c r="AT170"/>
  <c r="AT130"/>
  <c r="BL190"/>
  <c r="BL170"/>
  <c r="BL150"/>
  <c r="BL130"/>
  <c r="BL110"/>
  <c r="BL90"/>
  <c r="BL70"/>
  <c r="BL50"/>
  <c r="BL33"/>
  <c r="AV51"/>
  <c r="AS51"/>
  <c r="CG91"/>
  <c r="BS91"/>
  <c r="BS5" s="1"/>
  <c r="CI91"/>
  <c r="BU91"/>
  <c r="BU5" s="1"/>
  <c r="AQ89"/>
  <c r="BN5"/>
  <c r="CC91"/>
  <c r="CC5" s="1"/>
  <c r="CO191"/>
  <c r="CO10" s="1"/>
  <c r="CV191"/>
  <c r="CV10" s="1"/>
  <c r="CW191"/>
  <c r="CW10" s="1"/>
  <c r="CO190"/>
  <c r="CO150"/>
  <c r="CO110"/>
  <c r="CO170"/>
  <c r="CO130"/>
  <c r="AM43"/>
  <c r="AJ43"/>
  <c r="AK43"/>
  <c r="AS71"/>
  <c r="AT71"/>
  <c r="AV71"/>
  <c r="AM83"/>
  <c r="AL83"/>
  <c r="CD5"/>
  <c r="CK5"/>
  <c r="BO91"/>
  <c r="AV5"/>
  <c r="CA91"/>
  <c r="CA5" s="1"/>
  <c r="CB91"/>
  <c r="CB5" s="1"/>
  <c r="CH91"/>
  <c r="BT91"/>
  <c r="BT5" s="1"/>
  <c r="BM5"/>
  <c r="CG131"/>
  <c r="BS131"/>
  <c r="BS7" s="1"/>
  <c r="CI131"/>
  <c r="BU131"/>
  <c r="BU7" s="1"/>
  <c r="AQ129"/>
  <c r="BN7"/>
  <c r="CC131"/>
  <c r="CC7" s="1"/>
  <c r="BN191"/>
  <c r="AU10"/>
  <c r="CJ190"/>
  <c r="CJ150"/>
  <c r="CJ110"/>
  <c r="CN190"/>
  <c r="CN170"/>
  <c r="CN150"/>
  <c r="CN130"/>
  <c r="CN110"/>
  <c r="CN90"/>
  <c r="CN70"/>
  <c r="BA39" a="1"/>
  <c r="BA39" s="1"/>
  <c r="BA38"/>
  <c r="BA37"/>
  <c r="BA35" a="1"/>
  <c r="BA35" s="1"/>
  <c r="BA34" a="1"/>
  <c r="BA34" s="1"/>
  <c r="AY39" a="1"/>
  <c r="AY39" s="1"/>
  <c r="AY38"/>
  <c r="AY37"/>
  <c r="AY34" a="1"/>
  <c r="AY34" s="1"/>
  <c r="CO111"/>
  <c r="CO6" s="1"/>
  <c r="CV111"/>
  <c r="CV6" s="1"/>
  <c r="CH6"/>
  <c r="CW111"/>
  <c r="CW6" s="1"/>
  <c r="CG171"/>
  <c r="BS171"/>
  <c r="BS9" s="1"/>
  <c r="CI171"/>
  <c r="BU171"/>
  <c r="BU9" s="1"/>
  <c r="AQ169"/>
  <c r="CC171"/>
  <c r="CC9" s="1"/>
  <c r="BN9"/>
  <c r="BI37"/>
  <c r="AZ39" a="1"/>
  <c r="AZ39" s="1"/>
  <c r="AT50"/>
  <c r="CO50"/>
  <c r="AU51"/>
  <c r="AT90"/>
  <c r="CO90"/>
  <c r="BP5"/>
  <c r="BJ34"/>
  <c r="AL43"/>
  <c r="CN50"/>
  <c r="AT51"/>
  <c r="BZ91"/>
  <c r="BZ5" s="1"/>
  <c r="BT190"/>
  <c r="BT170"/>
  <c r="BT150"/>
  <c r="BT130"/>
  <c r="BT110"/>
  <c r="BT90"/>
  <c r="BT70"/>
  <c r="BT50"/>
  <c r="BI35" a="1"/>
  <c r="BI35" s="1"/>
  <c r="E35" s="1"/>
  <c r="BI34" a="1"/>
  <c r="BI34" s="1"/>
  <c r="BI39"/>
  <c r="E39" s="1"/>
  <c r="AM63"/>
  <c r="AL63"/>
  <c r="CI151"/>
  <c r="BU151"/>
  <c r="BU8" s="1"/>
  <c r="BZ151"/>
  <c r="BZ8" s="1"/>
  <c r="BN8"/>
  <c r="CC151"/>
  <c r="CC8" s="1"/>
  <c r="AM163"/>
  <c r="AL163"/>
  <c r="CG50"/>
  <c r="CG170"/>
  <c r="CG190"/>
  <c r="CG150"/>
  <c r="CG110"/>
  <c r="CG33"/>
  <c r="CG130"/>
  <c r="AU50"/>
  <c r="AU190"/>
  <c r="AU150"/>
  <c r="AU110"/>
  <c r="BM50"/>
  <c r="BM150"/>
  <c r="BM170"/>
  <c r="BM130"/>
  <c r="BM90"/>
  <c r="BM70"/>
  <c r="BM33"/>
  <c r="BM190"/>
  <c r="BM110"/>
  <c r="BU190"/>
  <c r="BU170"/>
  <c r="BU150"/>
  <c r="BU130"/>
  <c r="BU110"/>
  <c r="BU90"/>
  <c r="BU70"/>
  <c r="BU50"/>
  <c r="AZ38"/>
  <c r="AZ35" a="1"/>
  <c r="AZ35" s="1"/>
  <c r="CI111"/>
  <c r="BU111"/>
  <c r="BU6" s="1"/>
  <c r="BZ111"/>
  <c r="BZ6" s="1"/>
  <c r="CC111"/>
  <c r="CC6" s="1"/>
  <c r="BN6"/>
  <c r="AM123"/>
  <c r="AL123"/>
  <c r="CO151"/>
  <c r="CO8" s="1"/>
  <c r="CV151"/>
  <c r="CV8" s="1"/>
  <c r="CH8"/>
  <c r="CW151"/>
  <c r="CW8" s="1"/>
  <c r="AT70"/>
  <c r="D4"/>
  <c r="CH10"/>
  <c r="AU33"/>
  <c r="CO33"/>
  <c r="AZ34" a="1"/>
  <c r="AZ34" s="1"/>
  <c r="AU70"/>
  <c r="CJ70"/>
  <c r="AU71"/>
  <c r="AU130"/>
  <c r="BZ131"/>
  <c r="BZ7" s="1"/>
  <c r="BX100"/>
  <c r="AH100"/>
  <c r="CE100"/>
  <c r="AQ100"/>
  <c r="AJ103"/>
  <c r="AK103"/>
  <c r="AR129"/>
  <c r="CJ131"/>
  <c r="BV131"/>
  <c r="BV7" s="1"/>
  <c r="CA131"/>
  <c r="CA7" s="1"/>
  <c r="CB131"/>
  <c r="CB7" s="1"/>
  <c r="AJ143"/>
  <c r="AK143"/>
  <c r="AR169"/>
  <c r="CJ171"/>
  <c r="BV171"/>
  <c r="BV9" s="1"/>
  <c r="CA171"/>
  <c r="CA9" s="1"/>
  <c r="CB171"/>
  <c r="CB9" s="1"/>
  <c r="CY34"/>
  <c r="CR34"/>
  <c r="BP34"/>
  <c r="CY33"/>
  <c r="BW33"/>
  <c r="BG33"/>
  <c r="BS50"/>
  <c r="BS33"/>
  <c r="CQ190"/>
  <c r="CQ170"/>
  <c r="CQ150"/>
  <c r="CQ130"/>
  <c r="CQ110"/>
  <c r="CQ90"/>
  <c r="CQ70"/>
  <c r="CQ50"/>
  <c r="CQ33"/>
  <c r="AV190"/>
  <c r="AV170"/>
  <c r="AV150"/>
  <c r="AV130"/>
  <c r="AV110"/>
  <c r="AV90"/>
  <c r="AV70"/>
  <c r="AV50"/>
  <c r="CH190"/>
  <c r="CH170"/>
  <c r="CH150"/>
  <c r="CH130"/>
  <c r="CH110"/>
  <c r="CH90"/>
  <c r="CH70"/>
  <c r="CH50"/>
  <c r="BB37"/>
  <c r="BB35" a="1"/>
  <c r="BB35" s="1"/>
  <c r="CR51"/>
  <c r="CD51"/>
  <c r="AP51"/>
  <c r="A42"/>
  <c r="Z42"/>
  <c r="Z62"/>
  <c r="BP71"/>
  <c r="BG71"/>
  <c r="AJ63"/>
  <c r="AK63"/>
  <c r="BX80"/>
  <c r="AH80"/>
  <c r="CE80"/>
  <c r="AQ80"/>
  <c r="AJ83"/>
  <c r="AK83"/>
  <c r="AR109"/>
  <c r="CJ111"/>
  <c r="BV111"/>
  <c r="BV6" s="1"/>
  <c r="CA111"/>
  <c r="CA6" s="1"/>
  <c r="CB111"/>
  <c r="CB6" s="1"/>
  <c r="BX120"/>
  <c r="AH120"/>
  <c r="CE120"/>
  <c r="AQ120"/>
  <c r="AJ123"/>
  <c r="AK123"/>
  <c r="AR149"/>
  <c r="CJ151"/>
  <c r="BV151"/>
  <c r="BV8" s="1"/>
  <c r="CA151"/>
  <c r="CA8" s="1"/>
  <c r="CB151"/>
  <c r="CB8" s="1"/>
  <c r="BX160"/>
  <c r="AH160"/>
  <c r="CE160"/>
  <c r="AQ160"/>
  <c r="AJ163"/>
  <c r="AK163"/>
  <c r="AR189"/>
  <c r="CJ191"/>
  <c r="BV191"/>
  <c r="BV10" s="1"/>
  <c r="CA191"/>
  <c r="CA10" s="1"/>
  <c r="CB191"/>
  <c r="CB10" s="1"/>
  <c r="BX200"/>
  <c r="AH200"/>
  <c r="CE200"/>
  <c r="AQ200"/>
  <c r="CS100"/>
  <c r="CS180"/>
  <c r="BW1"/>
  <c r="CD7"/>
  <c r="AP9"/>
  <c r="BO9"/>
  <c r="BW9"/>
  <c r="CY9"/>
  <c r="AP33"/>
  <c r="CR33"/>
  <c r="AP34"/>
  <c r="AP1"/>
  <c r="CD1"/>
  <c r="CG6"/>
  <c r="AV7"/>
  <c r="BM7"/>
  <c r="CG8"/>
  <c r="AV33"/>
  <c r="BV33"/>
  <c r="CK33"/>
  <c r="CP33"/>
  <c r="BW51"/>
  <c r="BS70"/>
  <c r="BW71"/>
  <c r="CK71"/>
  <c r="CS80"/>
  <c r="BS90"/>
  <c r="BQ100"/>
  <c r="CS120"/>
  <c r="BS130"/>
  <c r="CS160"/>
  <c r="BS170"/>
  <c r="CS200"/>
  <c r="BX140"/>
  <c r="AH140"/>
  <c r="CE140"/>
  <c r="AQ140"/>
  <c r="BX180"/>
  <c r="AH180"/>
  <c r="CE180"/>
  <c r="AQ180"/>
  <c r="AJ183"/>
  <c r="AK183"/>
  <c r="AS190"/>
  <c r="AS170"/>
  <c r="AS150"/>
  <c r="AS130"/>
  <c r="AS110"/>
  <c r="AS90"/>
  <c r="AS70"/>
  <c r="BO190"/>
  <c r="BO170"/>
  <c r="BO150"/>
  <c r="BO130"/>
  <c r="BO110"/>
  <c r="BO90"/>
  <c r="BO70"/>
  <c r="BO50"/>
  <c r="BO33"/>
  <c r="CI190"/>
  <c r="CI170"/>
  <c r="CI150"/>
  <c r="CI130"/>
  <c r="CI110"/>
  <c r="CI90"/>
  <c r="CI70"/>
  <c r="CI33"/>
  <c r="AL103"/>
  <c r="CS140"/>
  <c r="AL143"/>
  <c r="CY1"/>
  <c r="BB38"/>
  <c r="BB36" s="1"/>
  <c r="BB39" a="1"/>
  <c r="BB39" s="1"/>
  <c r="BV50"/>
  <c r="BN70"/>
  <c r="BV70"/>
  <c r="BN90"/>
  <c r="BV90"/>
  <c r="CL100"/>
  <c r="CP110"/>
  <c r="BN130"/>
  <c r="BV130"/>
  <c r="BT131"/>
  <c r="BT7" s="1"/>
  <c r="CH131"/>
  <c r="CL140"/>
  <c r="CP150"/>
  <c r="BN170"/>
  <c r="BT171"/>
  <c r="BT9" s="1"/>
  <c r="CH171"/>
  <c r="CL180"/>
  <c r="CP190"/>
  <c r="AH60"/>
  <c r="BX60"/>
  <c r="BG91"/>
  <c r="BG111"/>
  <c r="BG131"/>
  <c r="BG151"/>
  <c r="BG171"/>
  <c r="BG191"/>
  <c r="BQ60"/>
  <c r="A3" i="45"/>
  <c r="CE200" i="59"/>
  <c r="AH200"/>
  <c r="B200"/>
  <c r="CS200" s="1"/>
  <c r="AV198"/>
  <c r="BO198" s="1"/>
  <c r="AT198"/>
  <c r="BM198" s="1"/>
  <c r="AS198"/>
  <c r="BL198" s="1"/>
  <c r="CA198" s="1"/>
  <c r="CJ191"/>
  <c r="CQ191" s="1"/>
  <c r="CQ10" s="1"/>
  <c r="CF191"/>
  <c r="CE191"/>
  <c r="CC191"/>
  <c r="CC10" s="1"/>
  <c r="BW191"/>
  <c r="BV191"/>
  <c r="BP191"/>
  <c r="BO191"/>
  <c r="BL191"/>
  <c r="CG191" s="1"/>
  <c r="BK191"/>
  <c r="BJ191"/>
  <c r="BI191"/>
  <c r="BG191"/>
  <c r="BD191"/>
  <c r="BD10" s="1"/>
  <c r="BB191"/>
  <c r="BA191"/>
  <c r="AZ191"/>
  <c r="AY191"/>
  <c r="AX191"/>
  <c r="AW191"/>
  <c r="AV191"/>
  <c r="AU191"/>
  <c r="BN191" s="1"/>
  <c r="AT191"/>
  <c r="BM191" s="1"/>
  <c r="AS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U190"/>
  <c r="BR190"/>
  <c r="BQ190"/>
  <c r="BM190"/>
  <c r="BL190"/>
  <c r="BK190"/>
  <c r="BJ190"/>
  <c r="BB190"/>
  <c r="BA190"/>
  <c r="AZ190"/>
  <c r="AY190"/>
  <c r="AX190"/>
  <c r="AW190"/>
  <c r="AR189"/>
  <c r="G184"/>
  <c r="E184"/>
  <c r="B184"/>
  <c r="AC183"/>
  <c r="G183"/>
  <c r="E183"/>
  <c r="B183"/>
  <c r="BF191" s="1"/>
  <c r="AM182"/>
  <c r="AL182"/>
  <c r="AK182"/>
  <c r="AJ182"/>
  <c r="G182"/>
  <c r="E182"/>
  <c r="D182"/>
  <c r="BE191" s="1"/>
  <c r="BE10" s="1"/>
  <c r="C182"/>
  <c r="A182"/>
  <c r="AM181"/>
  <c r="AL181"/>
  <c r="AK181"/>
  <c r="AJ181"/>
  <c r="G181"/>
  <c r="B181"/>
  <c r="B180"/>
  <c r="CS180" s="1"/>
  <c r="BO178"/>
  <c r="AV178"/>
  <c r="AT178"/>
  <c r="BM178" s="1"/>
  <c r="AS178"/>
  <c r="BL178" s="1"/>
  <c r="CA178" s="1"/>
  <c r="CJ171"/>
  <c r="CQ171" s="1"/>
  <c r="CF171"/>
  <c r="CF9" s="1"/>
  <c r="CE171"/>
  <c r="CC171"/>
  <c r="BW171"/>
  <c r="BV171"/>
  <c r="BO171"/>
  <c r="BL171"/>
  <c r="BS171" s="1"/>
  <c r="BK171"/>
  <c r="BJ171"/>
  <c r="BI171"/>
  <c r="BI9" s="1"/>
  <c r="BD171"/>
  <c r="BB171"/>
  <c r="BA171"/>
  <c r="AZ171"/>
  <c r="AY171"/>
  <c r="AX171"/>
  <c r="AW171"/>
  <c r="AV17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AR169"/>
  <c r="G164"/>
  <c r="E164"/>
  <c r="E163" s="1"/>
  <c r="B164"/>
  <c r="AC163"/>
  <c r="G163"/>
  <c r="B163"/>
  <c r="BF171" s="1"/>
  <c r="AM162"/>
  <c r="AL162"/>
  <c r="AK162"/>
  <c r="AJ162"/>
  <c r="G162"/>
  <c r="E162"/>
  <c r="D162"/>
  <c r="BE171" s="1"/>
  <c r="C162"/>
  <c r="A162"/>
  <c r="AM161"/>
  <c r="AL161"/>
  <c r="AK161"/>
  <c r="AJ161"/>
  <c r="G161"/>
  <c r="F10" s="1"/>
  <c r="B161"/>
  <c r="CE160"/>
  <c r="AH160"/>
  <c r="B160"/>
  <c r="CS160" s="1"/>
  <c r="AV158"/>
  <c r="BO158" s="1"/>
  <c r="AT158"/>
  <c r="BM158" s="1"/>
  <c r="AS158"/>
  <c r="BL158" s="1"/>
  <c r="CA158" s="1"/>
  <c r="CJ151"/>
  <c r="CF151"/>
  <c r="CE151"/>
  <c r="CC151"/>
  <c r="CC8" s="1"/>
  <c r="BW151"/>
  <c r="BV151"/>
  <c r="BP151"/>
  <c r="BO151"/>
  <c r="BL151"/>
  <c r="BK151"/>
  <c r="BJ151"/>
  <c r="BI151"/>
  <c r="BG151"/>
  <c r="BD151"/>
  <c r="BB151"/>
  <c r="BA151"/>
  <c r="AZ151"/>
  <c r="AY151"/>
  <c r="AY8" s="1"/>
  <c r="AX151"/>
  <c r="AW151"/>
  <c r="AV151"/>
  <c r="AU151"/>
  <c r="BN151" s="1"/>
  <c r="AT151"/>
  <c r="BM151" s="1"/>
  <c r="AS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U150"/>
  <c r="BR150"/>
  <c r="BQ150"/>
  <c r="BM150"/>
  <c r="BL150"/>
  <c r="BK150"/>
  <c r="BJ150"/>
  <c r="BB150"/>
  <c r="BA150"/>
  <c r="AZ150"/>
  <c r="AY150"/>
  <c r="AX150"/>
  <c r="AW150"/>
  <c r="AR149"/>
  <c r="G144"/>
  <c r="E144"/>
  <c r="B144"/>
  <c r="AL143"/>
  <c r="AC143"/>
  <c r="G143"/>
  <c r="E143"/>
  <c r="B143"/>
  <c r="BF151" s="1"/>
  <c r="BF8" s="1"/>
  <c r="AM142"/>
  <c r="AL142"/>
  <c r="AK142"/>
  <c r="AJ142"/>
  <c r="G142"/>
  <c r="E142"/>
  <c r="D142"/>
  <c r="BE151" s="1"/>
  <c r="C142"/>
  <c r="A142"/>
  <c r="AM141"/>
  <c r="AL141"/>
  <c r="AK141"/>
  <c r="AJ141"/>
  <c r="G141"/>
  <c r="B141"/>
  <c r="B140"/>
  <c r="CS140" s="1"/>
  <c r="BO138"/>
  <c r="AV138"/>
  <c r="AT138"/>
  <c r="BM138" s="1"/>
  <c r="AS138"/>
  <c r="BL138" s="1"/>
  <c r="CA138" s="1"/>
  <c r="CJ131"/>
  <c r="CQ131" s="1"/>
  <c r="CQ7" s="1"/>
  <c r="CF131"/>
  <c r="CF7" s="1"/>
  <c r="CE131"/>
  <c r="CC131"/>
  <c r="BW131"/>
  <c r="BV131"/>
  <c r="BO131"/>
  <c r="BL131"/>
  <c r="BS131" s="1"/>
  <c r="BS7" s="1"/>
  <c r="BK131"/>
  <c r="BJ131"/>
  <c r="BI131"/>
  <c r="BD131"/>
  <c r="BB131"/>
  <c r="BB7" s="1"/>
  <c r="BA131"/>
  <c r="AZ131"/>
  <c r="AY131"/>
  <c r="AX131"/>
  <c r="AX7" s="1"/>
  <c r="AW131"/>
  <c r="AV131"/>
  <c r="AU131"/>
  <c r="BN131" s="1"/>
  <c r="AT131"/>
  <c r="AS131"/>
  <c r="CX130"/>
  <c r="CW130"/>
  <c r="CV130"/>
  <c r="CU130"/>
  <c r="CT130"/>
  <c r="CS130"/>
  <c r="CO130"/>
  <c r="CN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AR129"/>
  <c r="G124"/>
  <c r="E124"/>
  <c r="E123" s="1"/>
  <c r="B124"/>
  <c r="AC123"/>
  <c r="G123"/>
  <c r="B123"/>
  <c r="BF131" s="1"/>
  <c r="AM122"/>
  <c r="AL122"/>
  <c r="AK122"/>
  <c r="AJ122"/>
  <c r="G122"/>
  <c r="E122"/>
  <c r="BP131" s="1"/>
  <c r="D122"/>
  <c r="BE131" s="1"/>
  <c r="C122"/>
  <c r="A122"/>
  <c r="AM121"/>
  <c r="AL121"/>
  <c r="AK121"/>
  <c r="AJ121"/>
  <c r="G121"/>
  <c r="F8" s="1"/>
  <c r="B121"/>
  <c r="CE120"/>
  <c r="AH120"/>
  <c r="B120"/>
  <c r="CS120" s="1"/>
  <c r="AV118"/>
  <c r="BO118" s="1"/>
  <c r="AT118"/>
  <c r="BM118" s="1"/>
  <c r="AS118"/>
  <c r="BL118" s="1"/>
  <c r="CA118" s="1"/>
  <c r="CJ111"/>
  <c r="CF111"/>
  <c r="CE111"/>
  <c r="CC111"/>
  <c r="CC6" s="1"/>
  <c r="BW111"/>
  <c r="BV111"/>
  <c r="BS111"/>
  <c r="BS6" s="1"/>
  <c r="BP111"/>
  <c r="BO111"/>
  <c r="BL111"/>
  <c r="BK111"/>
  <c r="BJ111"/>
  <c r="BI111"/>
  <c r="BG111"/>
  <c r="BD111"/>
  <c r="BB111"/>
  <c r="BA111"/>
  <c r="AZ111"/>
  <c r="AY111"/>
  <c r="AY6" s="1"/>
  <c r="AX111"/>
  <c r="AW111"/>
  <c r="AV111"/>
  <c r="AU111"/>
  <c r="BN111" s="1"/>
  <c r="AT111"/>
  <c r="BM111" s="1"/>
  <c r="BM6" s="1"/>
  <c r="AS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U110"/>
  <c r="BR110"/>
  <c r="BQ110"/>
  <c r="BM110"/>
  <c r="BL110"/>
  <c r="BK110"/>
  <c r="BJ110"/>
  <c r="BB110"/>
  <c r="BA110"/>
  <c r="AZ110"/>
  <c r="AY110"/>
  <c r="AX110"/>
  <c r="AW110"/>
  <c r="AR109"/>
  <c r="G104"/>
  <c r="E104"/>
  <c r="B104"/>
  <c r="AL103"/>
  <c r="AC103"/>
  <c r="G103"/>
  <c r="E103"/>
  <c r="B103"/>
  <c r="BF111" s="1"/>
  <c r="BF6" s="1"/>
  <c r="AM102"/>
  <c r="AL102"/>
  <c r="AK102"/>
  <c r="AJ102"/>
  <c r="G102"/>
  <c r="E102"/>
  <c r="D102"/>
  <c r="BE111" s="1"/>
  <c r="C102"/>
  <c r="A102"/>
  <c r="AM101"/>
  <c r="AL101"/>
  <c r="AK101"/>
  <c r="AJ101"/>
  <c r="G101"/>
  <c r="B101"/>
  <c r="CE100"/>
  <c r="AH100"/>
  <c r="B100"/>
  <c r="CS100" s="1"/>
  <c r="BO98"/>
  <c r="AV98"/>
  <c r="AT98"/>
  <c r="BM98" s="1"/>
  <c r="AS98"/>
  <c r="BL98" s="1"/>
  <c r="CA98" s="1"/>
  <c r="CJ91"/>
  <c r="CQ91" s="1"/>
  <c r="CQ5" s="1"/>
  <c r="CF91"/>
  <c r="CF5" s="1"/>
  <c r="CE91"/>
  <c r="CC91"/>
  <c r="BW91"/>
  <c r="BV91"/>
  <c r="BO91"/>
  <c r="BL91"/>
  <c r="BS91" s="1"/>
  <c r="BS5" s="1"/>
  <c r="BK91"/>
  <c r="BJ91"/>
  <c r="BI91"/>
  <c r="BD91"/>
  <c r="BB91"/>
  <c r="BB5" s="1"/>
  <c r="BA91"/>
  <c r="AZ91"/>
  <c r="AY91"/>
  <c r="AX91"/>
  <c r="AX5" s="1"/>
  <c r="AW91"/>
  <c r="AV91"/>
  <c r="AU91"/>
  <c r="BN91" s="1"/>
  <c r="AT91"/>
  <c r="AS91"/>
  <c r="CX90"/>
  <c r="CW90"/>
  <c r="CV90"/>
  <c r="CU90"/>
  <c r="CT90"/>
  <c r="CS90"/>
  <c r="CO90"/>
  <c r="CN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AR89"/>
  <c r="G84"/>
  <c r="E84"/>
  <c r="E83" s="1"/>
  <c r="B84"/>
  <c r="AC83"/>
  <c r="G83"/>
  <c r="B83"/>
  <c r="BF91" s="1"/>
  <c r="AM82"/>
  <c r="AL82"/>
  <c r="AK82"/>
  <c r="AJ82"/>
  <c r="G82"/>
  <c r="E82"/>
  <c r="D82"/>
  <c r="BE91" s="1"/>
  <c r="C82"/>
  <c r="A82"/>
  <c r="AM81"/>
  <c r="AL81"/>
  <c r="AK81"/>
  <c r="AJ81"/>
  <c r="G81"/>
  <c r="F6" s="1"/>
  <c r="B81"/>
  <c r="CL80"/>
  <c r="CE80"/>
  <c r="AQ80"/>
  <c r="AH80"/>
  <c r="B80"/>
  <c r="CS80" s="1"/>
  <c r="AV78"/>
  <c r="BO78" s="1"/>
  <c r="AT78"/>
  <c r="BM78" s="1"/>
  <c r="AS78"/>
  <c r="BL78" s="1"/>
  <c r="CA78" s="1"/>
  <c r="CF71"/>
  <c r="CE71"/>
  <c r="BK71"/>
  <c r="BJ71"/>
  <c r="BI71"/>
  <c r="BD71"/>
  <c r="BB71"/>
  <c r="BB4" s="1"/>
  <c r="BB34" s="1" a="1"/>
  <c r="BB34" s="1"/>
  <c r="BA71"/>
  <c r="AZ71"/>
  <c r="AY71"/>
  <c r="AX71"/>
  <c r="AX4" s="1"/>
  <c r="AW71"/>
  <c r="AW4" s="1"/>
  <c r="AT71"/>
  <c r="CX70"/>
  <c r="CW70"/>
  <c r="CV70"/>
  <c r="CU70"/>
  <c r="CT70"/>
  <c r="CS70"/>
  <c r="CN70"/>
  <c r="CM70"/>
  <c r="CL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AS70"/>
  <c r="G64"/>
  <c r="E64"/>
  <c r="E63" s="1"/>
  <c r="AL63" s="1"/>
  <c r="B64"/>
  <c r="AC63"/>
  <c r="G63"/>
  <c r="B63"/>
  <c r="BF71" s="1"/>
  <c r="BF4" s="1"/>
  <c r="G62"/>
  <c r="E62"/>
  <c r="CK71" s="1"/>
  <c r="D62"/>
  <c r="BE71" s="1"/>
  <c r="C62"/>
  <c r="AM61"/>
  <c r="AL61"/>
  <c r="AK61"/>
  <c r="AJ61"/>
  <c r="G61"/>
  <c r="B61"/>
  <c r="B5" s="1"/>
  <c r="B60"/>
  <c r="CS60" s="1"/>
  <c r="BO58"/>
  <c r="BM58"/>
  <c r="AV58"/>
  <c r="AT58"/>
  <c r="AS58"/>
  <c r="BL58" s="1"/>
  <c r="CA58" s="1"/>
  <c r="CF51"/>
  <c r="CE51"/>
  <c r="BP51"/>
  <c r="BK51"/>
  <c r="BJ51"/>
  <c r="BI51"/>
  <c r="BG51"/>
  <c r="BD51"/>
  <c r="BD3" s="1"/>
  <c r="BB51"/>
  <c r="BA51"/>
  <c r="BA3" s="1"/>
  <c r="AZ51"/>
  <c r="AZ3" s="1"/>
  <c r="AY51"/>
  <c r="AY3" s="1"/>
  <c r="AX51"/>
  <c r="AW51"/>
  <c r="AW3" s="1"/>
  <c r="AT51"/>
  <c r="AT3" s="1"/>
  <c r="AS51"/>
  <c r="CX50"/>
  <c r="CW50"/>
  <c r="CV50"/>
  <c r="CU50"/>
  <c r="CT50"/>
  <c r="CS50"/>
  <c r="CM50"/>
  <c r="CL50"/>
  <c r="CF50"/>
  <c r="CE50"/>
  <c r="CC50"/>
  <c r="CB50"/>
  <c r="CA50"/>
  <c r="BZ50"/>
  <c r="BY50"/>
  <c r="BX50"/>
  <c r="BU50"/>
  <c r="BT50"/>
  <c r="BR50"/>
  <c r="BQ50"/>
  <c r="BO50"/>
  <c r="BL50"/>
  <c r="BK50"/>
  <c r="BJ50"/>
  <c r="BB50"/>
  <c r="BA50"/>
  <c r="AZ50"/>
  <c r="AY50"/>
  <c r="AX50"/>
  <c r="AW50"/>
  <c r="G44"/>
  <c r="E43" s="1"/>
  <c r="AK43" s="1"/>
  <c r="E44"/>
  <c r="B44"/>
  <c r="AC43"/>
  <c r="G43"/>
  <c r="AU51" s="1"/>
  <c r="B43"/>
  <c r="BF51" s="1"/>
  <c r="BF33" s="1"/>
  <c r="BF34" s="1"/>
  <c r="Z42"/>
  <c r="G42"/>
  <c r="AV51" s="1"/>
  <c r="E42"/>
  <c r="CR51" s="1"/>
  <c r="D42"/>
  <c r="C42"/>
  <c r="C4" s="1"/>
  <c r="A42"/>
  <c r="AM41"/>
  <c r="AL41"/>
  <c r="AK41"/>
  <c r="AJ41"/>
  <c r="G4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M34"/>
  <c r="CF34"/>
  <c r="CE34"/>
  <c r="BY34"/>
  <c r="BX34"/>
  <c r="BR34"/>
  <c r="BK34"/>
  <c r="BG34"/>
  <c r="AX34"/>
  <c r="D34"/>
  <c r="CX33"/>
  <c r="CW33"/>
  <c r="CV33"/>
  <c r="CU33"/>
  <c r="CN33"/>
  <c r="CL33"/>
  <c r="CL34" s="1"/>
  <c r="CJ33"/>
  <c r="CC33"/>
  <c r="CB33"/>
  <c r="CA33"/>
  <c r="BZ33"/>
  <c r="BT33"/>
  <c r="BR33"/>
  <c r="AI17" s="1"/>
  <c r="BQ33"/>
  <c r="BQ34" s="1"/>
  <c r="BM33"/>
  <c r="BL33"/>
  <c r="BJ33"/>
  <c r="BI33"/>
  <c r="BH33"/>
  <c r="BB33"/>
  <c r="AY33"/>
  <c r="AS33"/>
  <c r="K33"/>
  <c r="J33"/>
  <c r="I33"/>
  <c r="H33"/>
  <c r="E33"/>
  <c r="B32"/>
  <c r="AI18"/>
  <c r="AM17"/>
  <c r="AL17"/>
  <c r="AK17"/>
  <c r="AJ17"/>
  <c r="F11"/>
  <c r="E11"/>
  <c r="D11"/>
  <c r="C11"/>
  <c r="B11"/>
  <c r="CT10"/>
  <c r="CS10"/>
  <c r="CM10"/>
  <c r="CL10"/>
  <c r="CJ10"/>
  <c r="CF10"/>
  <c r="CE10"/>
  <c r="BY10"/>
  <c r="BX10"/>
  <c r="BV10"/>
  <c r="BR10"/>
  <c r="BQ10"/>
  <c r="BO10"/>
  <c r="BK10"/>
  <c r="BJ10"/>
  <c r="BI10"/>
  <c r="BF10"/>
  <c r="BC10"/>
  <c r="BB10"/>
  <c r="BA10"/>
  <c r="AZ10"/>
  <c r="AY10"/>
  <c r="AX10"/>
  <c r="AW10"/>
  <c r="AV10"/>
  <c r="AU10"/>
  <c r="AT10"/>
  <c r="AS10"/>
  <c r="AR10"/>
  <c r="AQ10"/>
  <c r="E10"/>
  <c r="D10"/>
  <c r="C10"/>
  <c r="B10"/>
  <c r="CT9"/>
  <c r="CS9"/>
  <c r="CQ9"/>
  <c r="CM9"/>
  <c r="CL9"/>
  <c r="CJ9"/>
  <c r="CE9"/>
  <c r="CC9"/>
  <c r="BY9"/>
  <c r="BX9"/>
  <c r="BV9"/>
  <c r="BS9"/>
  <c r="BR9"/>
  <c r="BQ9"/>
  <c r="BO9"/>
  <c r="BN9"/>
  <c r="BL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F9"/>
  <c r="E9"/>
  <c r="D9"/>
  <c r="C9"/>
  <c r="B9"/>
  <c r="CT8"/>
  <c r="CS8"/>
  <c r="CM8"/>
  <c r="CL8"/>
  <c r="CF8"/>
  <c r="CE8"/>
  <c r="BY8"/>
  <c r="BX8"/>
  <c r="BV8"/>
  <c r="BR8"/>
  <c r="BQ8"/>
  <c r="BO8"/>
  <c r="BN8"/>
  <c r="BK8"/>
  <c r="BJ8"/>
  <c r="BI8"/>
  <c r="BE8"/>
  <c r="BD8"/>
  <c r="BC8"/>
  <c r="BB8"/>
  <c r="BA8"/>
  <c r="AZ8"/>
  <c r="AX8"/>
  <c r="AW8"/>
  <c r="AV8"/>
  <c r="AT8"/>
  <c r="AS8"/>
  <c r="AR8"/>
  <c r="AQ8"/>
  <c r="D8"/>
  <c r="C8"/>
  <c r="B8"/>
  <c r="CT7"/>
  <c r="CS7"/>
  <c r="CM7"/>
  <c r="CL7"/>
  <c r="CJ7"/>
  <c r="CE7"/>
  <c r="CC7"/>
  <c r="BY7"/>
  <c r="BX7"/>
  <c r="BV7"/>
  <c r="BR7"/>
  <c r="BQ7"/>
  <c r="BO7"/>
  <c r="BN7"/>
  <c r="BL7"/>
  <c r="BK7"/>
  <c r="BJ7"/>
  <c r="BI7"/>
  <c r="BF7"/>
  <c r="BE7"/>
  <c r="BD7"/>
  <c r="BC7"/>
  <c r="BA7"/>
  <c r="AZ7"/>
  <c r="AY7"/>
  <c r="AW7"/>
  <c r="AV7"/>
  <c r="AU7"/>
  <c r="AS7"/>
  <c r="AR7"/>
  <c r="AQ7"/>
  <c r="F7"/>
  <c r="E7"/>
  <c r="D7"/>
  <c r="C7"/>
  <c r="B7"/>
  <c r="CT6"/>
  <c r="CS6"/>
  <c r="CM6"/>
  <c r="CL6"/>
  <c r="CF6"/>
  <c r="CE6"/>
  <c r="BY6"/>
  <c r="BX6"/>
  <c r="BV6"/>
  <c r="BR6"/>
  <c r="BQ6"/>
  <c r="BO6"/>
  <c r="BN6"/>
  <c r="BK6"/>
  <c r="BJ6"/>
  <c r="BI6"/>
  <c r="BE6"/>
  <c r="BD6"/>
  <c r="BC6"/>
  <c r="BB6"/>
  <c r="BA6"/>
  <c r="AZ6"/>
  <c r="AX6"/>
  <c r="AW6"/>
  <c r="AV6"/>
  <c r="AT6"/>
  <c r="AS6"/>
  <c r="AR6"/>
  <c r="AQ6"/>
  <c r="D6"/>
  <c r="C6"/>
  <c r="B6"/>
  <c r="CT5"/>
  <c r="CS5"/>
  <c r="CM5"/>
  <c r="CL5"/>
  <c r="CJ5"/>
  <c r="CE5"/>
  <c r="CC5"/>
  <c r="BY5"/>
  <c r="BX5"/>
  <c r="BV5"/>
  <c r="BR5"/>
  <c r="BQ5"/>
  <c r="BO5"/>
  <c r="BN5"/>
  <c r="BL5"/>
  <c r="BK5"/>
  <c r="BJ5"/>
  <c r="BI5"/>
  <c r="BF5"/>
  <c r="BE5"/>
  <c r="BD5"/>
  <c r="BC5"/>
  <c r="BA5"/>
  <c r="AZ5"/>
  <c r="AY5"/>
  <c r="AW5"/>
  <c r="AV5"/>
  <c r="AU5"/>
  <c r="AS5"/>
  <c r="AR5"/>
  <c r="AQ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5"/>
  <c r="E5"/>
  <c r="D5"/>
  <c r="C5"/>
  <c r="CT4"/>
  <c r="CS4"/>
  <c r="CM4"/>
  <c r="CL4"/>
  <c r="CF4"/>
  <c r="CE4"/>
  <c r="BY4"/>
  <c r="BX4"/>
  <c r="BR4"/>
  <c r="BQ4"/>
  <c r="BK4"/>
  <c r="BJ4"/>
  <c r="BI4"/>
  <c r="BE4"/>
  <c r="BD4"/>
  <c r="BC4"/>
  <c r="BA4"/>
  <c r="AZ4"/>
  <c r="AY4"/>
  <c r="AR4"/>
  <c r="AQ4"/>
  <c r="AN4"/>
  <c r="F4"/>
  <c r="E4"/>
  <c r="B4"/>
  <c r="CT3"/>
  <c r="CT33" s="1"/>
  <c r="CS3"/>
  <c r="CS33" s="1"/>
  <c r="CS34" s="1"/>
  <c r="CM3"/>
  <c r="CM33" s="1"/>
  <c r="CL3"/>
  <c r="CF3"/>
  <c r="CF33" s="1"/>
  <c r="CE3"/>
  <c r="CE33" s="1"/>
  <c r="BY3"/>
  <c r="BY33" s="1"/>
  <c r="BX3"/>
  <c r="BX33" s="1"/>
  <c r="BR3"/>
  <c r="BQ3"/>
  <c r="BK3"/>
  <c r="BK33" s="1"/>
  <c r="G33" s="1"/>
  <c r="BJ3"/>
  <c r="BI3"/>
  <c r="BC3"/>
  <c r="BB3"/>
  <c r="AX3"/>
  <c r="AV3"/>
  <c r="AU3"/>
  <c r="AS3"/>
  <c r="AR3"/>
  <c r="AQ3"/>
  <c r="B2"/>
  <c r="CT1"/>
  <c r="CS1"/>
  <c r="CQ1"/>
  <c r="CP1"/>
  <c r="CO1"/>
  <c r="CO70" s="1"/>
  <c r="CN1"/>
  <c r="CN190" s="1"/>
  <c r="CM1"/>
  <c r="CL1"/>
  <c r="CJ1"/>
  <c r="CJ50" s="1"/>
  <c r="CI1"/>
  <c r="CH1"/>
  <c r="CG1"/>
  <c r="CF1"/>
  <c r="CE1"/>
  <c r="BY1"/>
  <c r="BX1"/>
  <c r="BV1"/>
  <c r="BU1"/>
  <c r="BU33" s="1"/>
  <c r="BT1"/>
  <c r="BS1"/>
  <c r="BR1"/>
  <c r="BQ1"/>
  <c r="BO1"/>
  <c r="BN1"/>
  <c r="BM1"/>
  <c r="BM50" s="1"/>
  <c r="BL1"/>
  <c r="BL70" s="1"/>
  <c r="BK1"/>
  <c r="BJ1"/>
  <c r="BB1"/>
  <c r="BA1"/>
  <c r="BA33" s="1"/>
  <c r="AZ1"/>
  <c r="AZ33" s="1"/>
  <c r="AY1"/>
  <c r="AX1"/>
  <c r="AW1"/>
  <c r="AV1"/>
  <c r="AU1"/>
  <c r="AT1"/>
  <c r="AT50" s="1"/>
  <c r="AS1"/>
  <c r="AA1"/>
  <c r="E1"/>
  <c r="BW1" s="1"/>
  <c r="D1"/>
  <c r="C1"/>
  <c r="B1"/>
  <c r="B33" s="1"/>
  <c r="CL200" i="58"/>
  <c r="BJ200"/>
  <c r="AQ200"/>
  <c r="B200"/>
  <c r="CS200" s="1"/>
  <c r="BO198"/>
  <c r="AV198"/>
  <c r="AT198"/>
  <c r="BM198" s="1"/>
  <c r="AS198"/>
  <c r="BL198" s="1"/>
  <c r="CA198" s="1"/>
  <c r="CJ191"/>
  <c r="CQ191" s="1"/>
  <c r="CQ10" s="1"/>
  <c r="CF191"/>
  <c r="CE191"/>
  <c r="CC191"/>
  <c r="CC10" s="1"/>
  <c r="BV191"/>
  <c r="BV10" s="1"/>
  <c r="BO191"/>
  <c r="BM191"/>
  <c r="BL191"/>
  <c r="CG191" s="1"/>
  <c r="BK191"/>
  <c r="BJ191"/>
  <c r="BI191"/>
  <c r="BI10" s="1"/>
  <c r="BD191"/>
  <c r="BB191"/>
  <c r="BA191"/>
  <c r="AZ191"/>
  <c r="AY191"/>
  <c r="AX191"/>
  <c r="AW191"/>
  <c r="AV191"/>
  <c r="AU191"/>
  <c r="BN191" s="1"/>
  <c r="AT191"/>
  <c r="AS191"/>
  <c r="CX190"/>
  <c r="CW190"/>
  <c r="CV190"/>
  <c r="CU190"/>
  <c r="CT190"/>
  <c r="CS190"/>
  <c r="CN190"/>
  <c r="CM190"/>
  <c r="CL190"/>
  <c r="CF190"/>
  <c r="CE190"/>
  <c r="CC190"/>
  <c r="CB190"/>
  <c r="CA190"/>
  <c r="BZ190"/>
  <c r="BY190"/>
  <c r="BX190"/>
  <c r="BR190"/>
  <c r="BQ190"/>
  <c r="BM190"/>
  <c r="BK190"/>
  <c r="BJ190"/>
  <c r="BB190"/>
  <c r="BA190"/>
  <c r="AZ190"/>
  <c r="AY190"/>
  <c r="AX190"/>
  <c r="AW190"/>
  <c r="AR189"/>
  <c r="G184"/>
  <c r="E184"/>
  <c r="B184"/>
  <c r="AC183"/>
  <c r="G183"/>
  <c r="E183"/>
  <c r="AK183" s="1"/>
  <c r="B183"/>
  <c r="BF191" s="1"/>
  <c r="AM182"/>
  <c r="AL182"/>
  <c r="AK182"/>
  <c r="AJ182"/>
  <c r="G182"/>
  <c r="E182"/>
  <c r="D182"/>
  <c r="BE191" s="1"/>
  <c r="BE10" s="1"/>
  <c r="C182"/>
  <c r="AM181"/>
  <c r="AL181"/>
  <c r="AK181"/>
  <c r="AJ181"/>
  <c r="G181"/>
  <c r="F11" s="1"/>
  <c r="B181"/>
  <c r="CL180"/>
  <c r="CE180"/>
  <c r="BJ180"/>
  <c r="AQ180"/>
  <c r="AH180"/>
  <c r="B180"/>
  <c r="CS180" s="1"/>
  <c r="AV178"/>
  <c r="BO178" s="1"/>
  <c r="AT178"/>
  <c r="BM178" s="1"/>
  <c r="AS178"/>
  <c r="BL178" s="1"/>
  <c r="CA178" s="1"/>
  <c r="CQ171"/>
  <c r="CQ9" s="1"/>
  <c r="CJ171"/>
  <c r="CG171"/>
  <c r="CF171"/>
  <c r="CF9" s="1"/>
  <c r="CE171"/>
  <c r="BS171"/>
  <c r="BL171"/>
  <c r="BK171"/>
  <c r="BJ171"/>
  <c r="BI171"/>
  <c r="BI9" s="1"/>
  <c r="BD171"/>
  <c r="BB171"/>
  <c r="BA171"/>
  <c r="AZ171"/>
  <c r="AY171"/>
  <c r="AX171"/>
  <c r="AW171"/>
  <c r="AV171"/>
  <c r="BO171" s="1"/>
  <c r="AR169" s="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G164"/>
  <c r="E164"/>
  <c r="B164"/>
  <c r="AC163"/>
  <c r="G163"/>
  <c r="E163"/>
  <c r="AK163" s="1"/>
  <c r="B163"/>
  <c r="BF171" s="1"/>
  <c r="AM162"/>
  <c r="AL162"/>
  <c r="AK162"/>
  <c r="AJ162"/>
  <c r="G162"/>
  <c r="E162"/>
  <c r="BP171" s="1"/>
  <c r="D162"/>
  <c r="BE171" s="1"/>
  <c r="C162"/>
  <c r="AM161"/>
  <c r="AL161"/>
  <c r="AK161"/>
  <c r="AJ161"/>
  <c r="G161"/>
  <c r="F10" s="1"/>
  <c r="B161"/>
  <c r="BJ160"/>
  <c r="AQ160"/>
  <c r="B160"/>
  <c r="BX160" s="1"/>
  <c r="CA158"/>
  <c r="BO158"/>
  <c r="BL158"/>
  <c r="AV158"/>
  <c r="AT158"/>
  <c r="BM158" s="1"/>
  <c r="AS158"/>
  <c r="CF151"/>
  <c r="CF8" s="1"/>
  <c r="CE151"/>
  <c r="BW151"/>
  <c r="BV151"/>
  <c r="BL151"/>
  <c r="CG151" s="1"/>
  <c r="CN151" s="1"/>
  <c r="CN8" s="1"/>
  <c r="BK151"/>
  <c r="BJ151"/>
  <c r="BI151"/>
  <c r="BE151"/>
  <c r="BD151"/>
  <c r="BB151"/>
  <c r="BB8" s="1"/>
  <c r="BA151"/>
  <c r="AZ151"/>
  <c r="AY151"/>
  <c r="AX151"/>
  <c r="AX8" s="1"/>
  <c r="AW151"/>
  <c r="AV151"/>
  <c r="BO151" s="1"/>
  <c r="AR149" s="1"/>
  <c r="AU151"/>
  <c r="BN151" s="1"/>
  <c r="CC151" s="1"/>
  <c r="CC8" s="1"/>
  <c r="AT151"/>
  <c r="AT8" s="1"/>
  <c r="AS151"/>
  <c r="CX150"/>
  <c r="CW150"/>
  <c r="CV150"/>
  <c r="CU150"/>
  <c r="CT150"/>
  <c r="CS150"/>
  <c r="CO150"/>
  <c r="CN150"/>
  <c r="CM150"/>
  <c r="CL150"/>
  <c r="CJ150"/>
  <c r="CF150"/>
  <c r="CE150"/>
  <c r="CC150"/>
  <c r="CB150"/>
  <c r="CA150"/>
  <c r="BZ150"/>
  <c r="BY150"/>
  <c r="BX150"/>
  <c r="BR150"/>
  <c r="BQ150"/>
  <c r="BK150"/>
  <c r="BJ150"/>
  <c r="BB150"/>
  <c r="BA150"/>
  <c r="AZ150"/>
  <c r="AY150"/>
  <c r="AX150"/>
  <c r="AW150"/>
  <c r="AT150"/>
  <c r="G144"/>
  <c r="E144"/>
  <c r="B144"/>
  <c r="AC143"/>
  <c r="G143"/>
  <c r="E143"/>
  <c r="AK143" s="1"/>
  <c r="B143"/>
  <c r="BF151" s="1"/>
  <c r="AM142"/>
  <c r="AL142"/>
  <c r="AL143" s="1"/>
  <c r="AK142"/>
  <c r="AJ142"/>
  <c r="G142"/>
  <c r="E142"/>
  <c r="D142"/>
  <c r="C142"/>
  <c r="AM141"/>
  <c r="AL141"/>
  <c r="AK141"/>
  <c r="AJ141"/>
  <c r="G141"/>
  <c r="F9" s="1"/>
  <c r="B141"/>
  <c r="B140"/>
  <c r="BX140" s="1"/>
  <c r="CA138"/>
  <c r="BO138"/>
  <c r="BL138"/>
  <c r="AV138"/>
  <c r="AT138"/>
  <c r="BM138" s="1"/>
  <c r="AS138"/>
  <c r="CF131"/>
  <c r="CF7" s="1"/>
  <c r="CE131"/>
  <c r="BW131"/>
  <c r="BV131"/>
  <c r="BL131"/>
  <c r="CG131" s="1"/>
  <c r="CN131" s="1"/>
  <c r="CN7" s="1"/>
  <c r="BK131"/>
  <c r="BJ131"/>
  <c r="BI131"/>
  <c r="BE131"/>
  <c r="BD131"/>
  <c r="BB131"/>
  <c r="BB7" s="1"/>
  <c r="BA131"/>
  <c r="AZ131"/>
  <c r="AY131"/>
  <c r="AX131"/>
  <c r="AX7" s="1"/>
  <c r="AW131"/>
  <c r="AV131"/>
  <c r="BO131" s="1"/>
  <c r="AR129" s="1"/>
  <c r="AU131"/>
  <c r="BN131" s="1"/>
  <c r="CC131" s="1"/>
  <c r="AT131"/>
  <c r="AT7" s="1"/>
  <c r="AS131"/>
  <c r="CX130"/>
  <c r="CW130"/>
  <c r="CV130"/>
  <c r="CU130"/>
  <c r="CT130"/>
  <c r="CS130"/>
  <c r="CO130"/>
  <c r="CN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G124"/>
  <c r="E124"/>
  <c r="B124"/>
  <c r="AC123"/>
  <c r="G123"/>
  <c r="E123"/>
  <c r="B123"/>
  <c r="BF131" s="1"/>
  <c r="AM122"/>
  <c r="AL122"/>
  <c r="AK122"/>
  <c r="AJ122"/>
  <c r="G122"/>
  <c r="E122"/>
  <c r="D122"/>
  <c r="C122"/>
  <c r="AM121"/>
  <c r="AL121"/>
  <c r="AK121"/>
  <c r="AJ121"/>
  <c r="G121"/>
  <c r="F8" s="1"/>
  <c r="B121"/>
  <c r="BJ120"/>
  <c r="AQ120"/>
  <c r="B120"/>
  <c r="BX120" s="1"/>
  <c r="CA118"/>
  <c r="BO118"/>
  <c r="BL118"/>
  <c r="AV118"/>
  <c r="AT118"/>
  <c r="BM118" s="1"/>
  <c r="AS118"/>
  <c r="CF111"/>
  <c r="CF6" s="1"/>
  <c r="CE111"/>
  <c r="BW111"/>
  <c r="BV111"/>
  <c r="BL111"/>
  <c r="CG111" s="1"/>
  <c r="CN111" s="1"/>
  <c r="CN6" s="1"/>
  <c r="BK111"/>
  <c r="BJ111"/>
  <c r="BI111"/>
  <c r="BE111"/>
  <c r="BD111"/>
  <c r="BB111"/>
  <c r="BB6" s="1"/>
  <c r="BA111"/>
  <c r="AZ111"/>
  <c r="AY111"/>
  <c r="AX111"/>
  <c r="AX6" s="1"/>
  <c r="AW111"/>
  <c r="AV111"/>
  <c r="BO111" s="1"/>
  <c r="AR109" s="1"/>
  <c r="AU111"/>
  <c r="BN111" s="1"/>
  <c r="CC111" s="1"/>
  <c r="CC6" s="1"/>
  <c r="AT111"/>
  <c r="AT6" s="1"/>
  <c r="AS111"/>
  <c r="CX110"/>
  <c r="CW110"/>
  <c r="CV110"/>
  <c r="CU110"/>
  <c r="CT110"/>
  <c r="CS110"/>
  <c r="CO110"/>
  <c r="CN110"/>
  <c r="CM110"/>
  <c r="CL110"/>
  <c r="CJ110"/>
  <c r="CF110"/>
  <c r="CE110"/>
  <c r="CC110"/>
  <c r="CB110"/>
  <c r="CA110"/>
  <c r="BZ110"/>
  <c r="BY110"/>
  <c r="BX110"/>
  <c r="BR110"/>
  <c r="BQ110"/>
  <c r="BK110"/>
  <c r="BJ110"/>
  <c r="BB110"/>
  <c r="BA110"/>
  <c r="AZ110"/>
  <c r="AY110"/>
  <c r="AX110"/>
  <c r="AW110"/>
  <c r="AT110"/>
  <c r="G104"/>
  <c r="E104"/>
  <c r="B104"/>
  <c r="AC103"/>
  <c r="G103"/>
  <c r="E103"/>
  <c r="B103"/>
  <c r="BF111" s="1"/>
  <c r="AM102"/>
  <c r="AL102"/>
  <c r="AK102"/>
  <c r="AJ102"/>
  <c r="G102"/>
  <c r="E102"/>
  <c r="D102"/>
  <c r="C102"/>
  <c r="AM101"/>
  <c r="AL101"/>
  <c r="AK101"/>
  <c r="AJ101"/>
  <c r="G101"/>
  <c r="F7" s="1"/>
  <c r="B101"/>
  <c r="B100"/>
  <c r="BX100" s="1"/>
  <c r="CA98"/>
  <c r="BO98"/>
  <c r="BL98"/>
  <c r="AV98"/>
  <c r="AT98"/>
  <c r="BM98" s="1"/>
  <c r="AS98"/>
  <c r="CF91"/>
  <c r="CF5" s="1"/>
  <c r="CE91"/>
  <c r="BW91"/>
  <c r="BV91"/>
  <c r="BL91"/>
  <c r="CG91" s="1"/>
  <c r="CN91" s="1"/>
  <c r="CN5" s="1"/>
  <c r="BK91"/>
  <c r="BJ91"/>
  <c r="BI91"/>
  <c r="BE91"/>
  <c r="BD91"/>
  <c r="BB91"/>
  <c r="BB5" s="1"/>
  <c r="BA91"/>
  <c r="AZ91"/>
  <c r="AY91"/>
  <c r="AX91"/>
  <c r="AX5" s="1"/>
  <c r="AW91"/>
  <c r="AV91"/>
  <c r="BO91" s="1"/>
  <c r="AR89" s="1"/>
  <c r="AU91"/>
  <c r="BN91" s="1"/>
  <c r="CC91" s="1"/>
  <c r="CC5" s="1"/>
  <c r="AT91"/>
  <c r="AT5" s="1"/>
  <c r="AS91"/>
  <c r="CX90"/>
  <c r="CW90"/>
  <c r="CV90"/>
  <c r="CU90"/>
  <c r="CT90"/>
  <c r="CS90"/>
  <c r="CO90"/>
  <c r="CN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G84"/>
  <c r="E84"/>
  <c r="B84"/>
  <c r="AC83"/>
  <c r="G83"/>
  <c r="E83"/>
  <c r="B83"/>
  <c r="BF91" s="1"/>
  <c r="AM82"/>
  <c r="AL82"/>
  <c r="AK82"/>
  <c r="AJ82"/>
  <c r="G82"/>
  <c r="E82"/>
  <c r="D82"/>
  <c r="C82"/>
  <c r="AM81"/>
  <c r="AL81"/>
  <c r="AK81"/>
  <c r="AJ81"/>
  <c r="G81"/>
  <c r="F6" s="1"/>
  <c r="B81"/>
  <c r="BJ80"/>
  <c r="AQ80"/>
  <c r="B80"/>
  <c r="BX80" s="1"/>
  <c r="CA78"/>
  <c r="BO78"/>
  <c r="BL78"/>
  <c r="AV78"/>
  <c r="AT78"/>
  <c r="BM78" s="1"/>
  <c r="AS78"/>
  <c r="CK71"/>
  <c r="CF71"/>
  <c r="CE71"/>
  <c r="BW71"/>
  <c r="BP71"/>
  <c r="BM71"/>
  <c r="BL71"/>
  <c r="CG71" s="1"/>
  <c r="CN71" s="1"/>
  <c r="CN4" s="1"/>
  <c r="BK71"/>
  <c r="BJ71"/>
  <c r="BI71"/>
  <c r="BG71"/>
  <c r="BD71"/>
  <c r="BB71"/>
  <c r="BA71"/>
  <c r="AZ71"/>
  <c r="AY71"/>
  <c r="AX71"/>
  <c r="AW71"/>
  <c r="AV71"/>
  <c r="BO71" s="1"/>
  <c r="AR69" s="1"/>
  <c r="AU71"/>
  <c r="BN71" s="1"/>
  <c r="BN4" s="1"/>
  <c r="AT71"/>
  <c r="AS71"/>
  <c r="CX70"/>
  <c r="CW70"/>
  <c r="CV70"/>
  <c r="CU70"/>
  <c r="CT70"/>
  <c r="CS70"/>
  <c r="CN70"/>
  <c r="CM70"/>
  <c r="CL70"/>
  <c r="CI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G64"/>
  <c r="E64"/>
  <c r="B64"/>
  <c r="AC63"/>
  <c r="G63"/>
  <c r="E63"/>
  <c r="AL63" s="1"/>
  <c r="B63"/>
  <c r="BF71" s="1"/>
  <c r="BF4" s="1"/>
  <c r="G62"/>
  <c r="E62"/>
  <c r="D62"/>
  <c r="BE71" s="1"/>
  <c r="C62"/>
  <c r="AM61"/>
  <c r="AL61"/>
  <c r="AK61"/>
  <c r="AJ61"/>
  <c r="G61"/>
  <c r="B61"/>
  <c r="CL60"/>
  <c r="BJ60"/>
  <c r="AQ60"/>
  <c r="B60"/>
  <c r="CS60" s="1"/>
  <c r="BO58"/>
  <c r="AV58"/>
  <c r="AT58"/>
  <c r="BM58" s="1"/>
  <c r="AS58"/>
  <c r="BL58" s="1"/>
  <c r="CA58" s="1"/>
  <c r="CI51"/>
  <c r="CU51" s="1"/>
  <c r="CU3" s="1"/>
  <c r="CF51"/>
  <c r="CE51"/>
  <c r="BP51"/>
  <c r="BO51"/>
  <c r="BK51"/>
  <c r="BJ51"/>
  <c r="BI51"/>
  <c r="BG51"/>
  <c r="BD51"/>
  <c r="BB51"/>
  <c r="BA51"/>
  <c r="BA3" s="1"/>
  <c r="AZ51"/>
  <c r="AY51"/>
  <c r="AX51"/>
  <c r="AW51"/>
  <c r="AW3" s="1"/>
  <c r="AV51"/>
  <c r="AU51"/>
  <c r="BN51" s="1"/>
  <c r="BU51" s="1"/>
  <c r="BU3" s="1"/>
  <c r="AT51"/>
  <c r="BM51" s="1"/>
  <c r="AS51"/>
  <c r="AS3" s="1"/>
  <c r="CX50"/>
  <c r="CW50"/>
  <c r="CV50"/>
  <c r="CU50"/>
  <c r="CT50"/>
  <c r="CS50"/>
  <c r="CN50"/>
  <c r="CM50"/>
  <c r="CL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G44"/>
  <c r="E44"/>
  <c r="E43" s="1"/>
  <c r="B44"/>
  <c r="AC43"/>
  <c r="G43"/>
  <c r="B43"/>
  <c r="BF51" s="1"/>
  <c r="BF33" s="1"/>
  <c r="BF34" s="1"/>
  <c r="Z42"/>
  <c r="G42"/>
  <c r="E42"/>
  <c r="CR51" s="1"/>
  <c r="D42"/>
  <c r="BE51" s="1"/>
  <c r="C42"/>
  <c r="AM41"/>
  <c r="AL41"/>
  <c r="AK41"/>
  <c r="AJ41"/>
  <c r="G4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Y37"/>
  <c r="AX37"/>
  <c r="D37"/>
  <c r="BG36"/>
  <c r="D36"/>
  <c r="BG35"/>
  <c r="D35"/>
  <c r="CT34"/>
  <c r="CR34"/>
  <c r="CM34"/>
  <c r="CF34"/>
  <c r="BY34"/>
  <c r="BR34"/>
  <c r="BK34"/>
  <c r="BG34"/>
  <c r="AX34"/>
  <c r="D34"/>
  <c r="CX33"/>
  <c r="CW33"/>
  <c r="CV33"/>
  <c r="CU33"/>
  <c r="CL33"/>
  <c r="CL34" s="1"/>
  <c r="CH33"/>
  <c r="CC33"/>
  <c r="CB33"/>
  <c r="CA33"/>
  <c r="BZ33"/>
  <c r="BS33"/>
  <c r="BR33"/>
  <c r="AI17" s="1"/>
  <c r="BL33"/>
  <c r="BI33"/>
  <c r="BH33"/>
  <c r="AT33"/>
  <c r="K33"/>
  <c r="J33"/>
  <c r="I33"/>
  <c r="H33"/>
  <c r="E33"/>
  <c r="B33"/>
  <c r="AI18"/>
  <c r="AM17"/>
  <c r="AL17"/>
  <c r="AK17"/>
  <c r="AJ17"/>
  <c r="D11"/>
  <c r="C11"/>
  <c r="B11"/>
  <c r="CT10"/>
  <c r="CS10"/>
  <c r="CM10"/>
  <c r="CL10"/>
  <c r="CJ10"/>
  <c r="CF10"/>
  <c r="CE10"/>
  <c r="BY10"/>
  <c r="BX10"/>
  <c r="BR10"/>
  <c r="BQ10"/>
  <c r="BO10"/>
  <c r="BN10"/>
  <c r="BL10"/>
  <c r="BK10"/>
  <c r="BJ10"/>
  <c r="BF10"/>
  <c r="BD10"/>
  <c r="BC10"/>
  <c r="BB10"/>
  <c r="BB39" s="1" a="1"/>
  <c r="BB39" s="1"/>
  <c r="BA10"/>
  <c r="AZ10"/>
  <c r="AY10"/>
  <c r="AX10"/>
  <c r="AW10"/>
  <c r="AV10"/>
  <c r="AU10"/>
  <c r="AT10"/>
  <c r="AS10"/>
  <c r="AR10"/>
  <c r="AQ10"/>
  <c r="E10"/>
  <c r="D10"/>
  <c r="C10"/>
  <c r="B10"/>
  <c r="CT9"/>
  <c r="CS9"/>
  <c r="CM9"/>
  <c r="CL9"/>
  <c r="CJ9"/>
  <c r="CE9"/>
  <c r="BY9"/>
  <c r="BX9"/>
  <c r="BS9"/>
  <c r="BR9"/>
  <c r="BQ9"/>
  <c r="BO9"/>
  <c r="BN9"/>
  <c r="BL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D9"/>
  <c r="C9"/>
  <c r="B9"/>
  <c r="CT8"/>
  <c r="CS8"/>
  <c r="CM8"/>
  <c r="CL8"/>
  <c r="CG8"/>
  <c r="CE8"/>
  <c r="BY8"/>
  <c r="BX8"/>
  <c r="BV8"/>
  <c r="BR8"/>
  <c r="BQ8"/>
  <c r="BO8"/>
  <c r="BN8"/>
  <c r="BK8"/>
  <c r="BJ8"/>
  <c r="BI8"/>
  <c r="BF8"/>
  <c r="BE8"/>
  <c r="BD8"/>
  <c r="BC8"/>
  <c r="BA8"/>
  <c r="AZ8"/>
  <c r="AY8"/>
  <c r="AW8"/>
  <c r="AV8"/>
  <c r="AU8"/>
  <c r="AS8"/>
  <c r="AR8"/>
  <c r="AQ8"/>
  <c r="D8"/>
  <c r="C8"/>
  <c r="B8"/>
  <c r="CT7"/>
  <c r="CS7"/>
  <c r="CM7"/>
  <c r="CL7"/>
  <c r="CG7"/>
  <c r="CE7"/>
  <c r="CC7"/>
  <c r="BY7"/>
  <c r="BX7"/>
  <c r="BV7"/>
  <c r="BR7"/>
  <c r="BQ7"/>
  <c r="BO7"/>
  <c r="BN7"/>
  <c r="BK7"/>
  <c r="BJ7"/>
  <c r="BI7"/>
  <c r="BI34" s="1" a="1"/>
  <c r="BI34" s="1"/>
  <c r="BF7"/>
  <c r="BE7"/>
  <c r="BD7"/>
  <c r="BC7"/>
  <c r="BA7"/>
  <c r="AZ7"/>
  <c r="AY7"/>
  <c r="AW7"/>
  <c r="AV7"/>
  <c r="AU7"/>
  <c r="AS7"/>
  <c r="AR7"/>
  <c r="AQ7"/>
  <c r="D7"/>
  <c r="C7"/>
  <c r="B7"/>
  <c r="CT6"/>
  <c r="CS6"/>
  <c r="CM6"/>
  <c r="CL6"/>
  <c r="CG6"/>
  <c r="CE6"/>
  <c r="BY6"/>
  <c r="BX6"/>
  <c r="BV6"/>
  <c r="BR6"/>
  <c r="BQ6"/>
  <c r="BO6"/>
  <c r="BN6"/>
  <c r="BK6"/>
  <c r="BJ6"/>
  <c r="BI6"/>
  <c r="BF6"/>
  <c r="BE6"/>
  <c r="BD6"/>
  <c r="BC6"/>
  <c r="BA6"/>
  <c r="AZ6"/>
  <c r="AZ34" s="1" a="1"/>
  <c r="AZ34" s="1"/>
  <c r="AY6"/>
  <c r="AW6"/>
  <c r="AV6"/>
  <c r="AU6"/>
  <c r="AS6"/>
  <c r="AS34" s="1" a="1"/>
  <c r="AS34" s="1"/>
  <c r="AR6"/>
  <c r="AQ6"/>
  <c r="AN6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D6"/>
  <c r="C6"/>
  <c r="B6"/>
  <c r="CT5"/>
  <c r="CS5"/>
  <c r="CM5"/>
  <c r="CL5"/>
  <c r="CG5"/>
  <c r="CE5"/>
  <c r="BY5"/>
  <c r="BX5"/>
  <c r="BV5"/>
  <c r="BR5"/>
  <c r="BQ5"/>
  <c r="BO5"/>
  <c r="BN5"/>
  <c r="BK5"/>
  <c r="BJ5"/>
  <c r="BI5"/>
  <c r="BF5"/>
  <c r="BE5"/>
  <c r="BD5"/>
  <c r="BC5"/>
  <c r="BA5"/>
  <c r="AZ5"/>
  <c r="AY5"/>
  <c r="AW5"/>
  <c r="AV5"/>
  <c r="AU5"/>
  <c r="AS5"/>
  <c r="AR5"/>
  <c r="AQ5"/>
  <c r="AN5"/>
  <c r="F5"/>
  <c r="E5"/>
  <c r="D5"/>
  <c r="C5"/>
  <c r="B5"/>
  <c r="CT4"/>
  <c r="CS4"/>
  <c r="CM4"/>
  <c r="CL4"/>
  <c r="CF4"/>
  <c r="CE4"/>
  <c r="BY4"/>
  <c r="BX4"/>
  <c r="BR4"/>
  <c r="BQ4"/>
  <c r="BM4"/>
  <c r="BL4"/>
  <c r="BK4"/>
  <c r="BJ4"/>
  <c r="BI4"/>
  <c r="BE4"/>
  <c r="BD4"/>
  <c r="BC4"/>
  <c r="BB4"/>
  <c r="BA4"/>
  <c r="AZ4"/>
  <c r="AY4"/>
  <c r="AX4"/>
  <c r="AW4"/>
  <c r="AV4"/>
  <c r="AU4"/>
  <c r="AT4"/>
  <c r="AS4"/>
  <c r="AR4"/>
  <c r="AQ4"/>
  <c r="AN4"/>
  <c r="F4"/>
  <c r="E4"/>
  <c r="D4"/>
  <c r="C4"/>
  <c r="B4"/>
  <c r="CT3"/>
  <c r="CT33" s="1"/>
  <c r="CS3"/>
  <c r="CS33" s="1"/>
  <c r="CS34" s="1"/>
  <c r="CM3"/>
  <c r="CM33" s="1"/>
  <c r="CL3"/>
  <c r="CF3"/>
  <c r="CF33" s="1"/>
  <c r="CE3"/>
  <c r="CE33" s="1"/>
  <c r="CE34" s="1"/>
  <c r="BY3"/>
  <c r="BY33" s="1"/>
  <c r="BX3"/>
  <c r="BX33" s="1"/>
  <c r="BX34" s="1"/>
  <c r="BR3"/>
  <c r="BQ3"/>
  <c r="BQ33" s="1"/>
  <c r="BQ34" s="1"/>
  <c r="BK3"/>
  <c r="BK33" s="1"/>
  <c r="G33" s="1"/>
  <c r="BJ3"/>
  <c r="BJ33" s="1"/>
  <c r="BI3"/>
  <c r="BF3"/>
  <c r="BE3"/>
  <c r="BD3"/>
  <c r="BC3"/>
  <c r="BB3"/>
  <c r="AZ3"/>
  <c r="AY3"/>
  <c r="AX3"/>
  <c r="AV3"/>
  <c r="AU3"/>
  <c r="AT3"/>
  <c r="AR3"/>
  <c r="AQ3"/>
  <c r="B2"/>
  <c r="B32" s="1"/>
  <c r="CY1"/>
  <c r="CT1"/>
  <c r="CS1"/>
  <c r="CQ1"/>
  <c r="CP1"/>
  <c r="CO1"/>
  <c r="CN1"/>
  <c r="CN33" s="1"/>
  <c r="CM1"/>
  <c r="CL1"/>
  <c r="CJ1"/>
  <c r="CJ50" s="1"/>
  <c r="CI1"/>
  <c r="CI190" s="1"/>
  <c r="CH1"/>
  <c r="CG1"/>
  <c r="CF1"/>
  <c r="CE1"/>
  <c r="BY1"/>
  <c r="BX1"/>
  <c r="BW1"/>
  <c r="BV1"/>
  <c r="BU1"/>
  <c r="BU33" s="1"/>
  <c r="BT1"/>
  <c r="BS1"/>
  <c r="BR1"/>
  <c r="BQ1"/>
  <c r="BO1"/>
  <c r="BN1"/>
  <c r="BM1"/>
  <c r="BL1"/>
  <c r="BL170" s="1"/>
  <c r="BK1"/>
  <c r="BJ1"/>
  <c r="BB1"/>
  <c r="BB33" s="1"/>
  <c r="BA1"/>
  <c r="BA33" s="1"/>
  <c r="AZ1"/>
  <c r="AZ33" s="1"/>
  <c r="AY1"/>
  <c r="AY33" s="1"/>
  <c r="AX1"/>
  <c r="AW1"/>
  <c r="AV1"/>
  <c r="AU1"/>
  <c r="AT1"/>
  <c r="AT50" s="1"/>
  <c r="AS1"/>
  <c r="AP1"/>
  <c r="AA1"/>
  <c r="E1"/>
  <c r="D1"/>
  <c r="C1"/>
  <c r="B1"/>
  <c r="B200" i="57"/>
  <c r="BQ200" s="1"/>
  <c r="CA198"/>
  <c r="BM198"/>
  <c r="BL198"/>
  <c r="AV198"/>
  <c r="BO198" s="1"/>
  <c r="AT198"/>
  <c r="AS198"/>
  <c r="CR191"/>
  <c r="CK191"/>
  <c r="CF191"/>
  <c r="CE191"/>
  <c r="CD191"/>
  <c r="BW191"/>
  <c r="BM191"/>
  <c r="BK191"/>
  <c r="BJ191"/>
  <c r="BI191"/>
  <c r="BE191"/>
  <c r="BE10" s="1"/>
  <c r="BD191"/>
  <c r="BB191"/>
  <c r="BA191"/>
  <c r="AZ191"/>
  <c r="AY191"/>
  <c r="AX191"/>
  <c r="AW191"/>
  <c r="AV191"/>
  <c r="BO191" s="1"/>
  <c r="AU191"/>
  <c r="BN191" s="1"/>
  <c r="AT191"/>
  <c r="AS191"/>
  <c r="BL191" s="1"/>
  <c r="CG191" s="1"/>
  <c r="AP191"/>
  <c r="CK10" s="1"/>
  <c r="CX190"/>
  <c r="CW190"/>
  <c r="CV190"/>
  <c r="CU190"/>
  <c r="CT190"/>
  <c r="CS190"/>
  <c r="CO190"/>
  <c r="CM190"/>
  <c r="CL190"/>
  <c r="CG190"/>
  <c r="CF190"/>
  <c r="CE190"/>
  <c r="CC190"/>
  <c r="CB190"/>
  <c r="CA190"/>
  <c r="BZ190"/>
  <c r="BY190"/>
  <c r="BX190"/>
  <c r="BV190"/>
  <c r="BR190"/>
  <c r="BQ190"/>
  <c r="BN190"/>
  <c r="BK190"/>
  <c r="BJ190"/>
  <c r="BB190"/>
  <c r="BA190"/>
  <c r="AZ190"/>
  <c r="AY190"/>
  <c r="AX190"/>
  <c r="AW190"/>
  <c r="G184"/>
  <c r="E183" s="1"/>
  <c r="E184"/>
  <c r="B184"/>
  <c r="AM183"/>
  <c r="AC183"/>
  <c r="G183"/>
  <c r="B183"/>
  <c r="BF191" s="1"/>
  <c r="BF10" s="1"/>
  <c r="AM182"/>
  <c r="AL182"/>
  <c r="AL183" s="1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J180"/>
  <c r="B180"/>
  <c r="CL180" s="1"/>
  <c r="BM178"/>
  <c r="BL178"/>
  <c r="CA178" s="1"/>
  <c r="AV178"/>
  <c r="BO178" s="1"/>
  <c r="AT178"/>
  <c r="AS178"/>
  <c r="CR171"/>
  <c r="CK171"/>
  <c r="CH171"/>
  <c r="CW171" s="1"/>
  <c r="CW9" s="1"/>
  <c r="CG171"/>
  <c r="CG9" s="1"/>
  <c r="CF171"/>
  <c r="CE171"/>
  <c r="CD171"/>
  <c r="CC171"/>
  <c r="CC9" s="1"/>
  <c r="BW171"/>
  <c r="BT171"/>
  <c r="BS171"/>
  <c r="BS9" s="1"/>
  <c r="BN171"/>
  <c r="BM171"/>
  <c r="BK171"/>
  <c r="BJ171"/>
  <c r="BJ9" s="1"/>
  <c r="BI171"/>
  <c r="BI9" s="1"/>
  <c r="BE171"/>
  <c r="BD171"/>
  <c r="BB171"/>
  <c r="BA171"/>
  <c r="AZ171"/>
  <c r="AY171"/>
  <c r="AX171"/>
  <c r="AW171"/>
  <c r="AV171"/>
  <c r="BO171" s="1"/>
  <c r="AU171"/>
  <c r="AT171"/>
  <c r="AS171"/>
  <c r="BL171" s="1"/>
  <c r="AP171"/>
  <c r="CX170"/>
  <c r="CW170"/>
  <c r="CV170"/>
  <c r="CU170"/>
  <c r="CT170"/>
  <c r="CS170"/>
  <c r="CP170"/>
  <c r="CM170"/>
  <c r="CL170"/>
  <c r="CF170"/>
  <c r="CE170"/>
  <c r="CC170"/>
  <c r="CB170"/>
  <c r="CA170"/>
  <c r="BZ170"/>
  <c r="BY170"/>
  <c r="BX170"/>
  <c r="BS170"/>
  <c r="BR170"/>
  <c r="BQ170"/>
  <c r="BM170"/>
  <c r="BK170"/>
  <c r="BJ170"/>
  <c r="BB170"/>
  <c r="BA170"/>
  <c r="AZ170"/>
  <c r="AY170"/>
  <c r="AX170"/>
  <c r="AW170"/>
  <c r="AU170"/>
  <c r="G164"/>
  <c r="E163" s="1"/>
  <c r="E164"/>
  <c r="B164"/>
  <c r="AL163"/>
  <c r="AC163"/>
  <c r="G163"/>
  <c r="B163"/>
  <c r="BF171" s="1"/>
  <c r="AM162"/>
  <c r="AL162"/>
  <c r="AK162"/>
  <c r="AJ162"/>
  <c r="Z162"/>
  <c r="G162"/>
  <c r="E162"/>
  <c r="BP171" s="1"/>
  <c r="D162"/>
  <c r="C162"/>
  <c r="C10" s="1"/>
  <c r="A162"/>
  <c r="AM161"/>
  <c r="AL161"/>
  <c r="AK161"/>
  <c r="AJ161"/>
  <c r="G161"/>
  <c r="B161"/>
  <c r="B160"/>
  <c r="CA158"/>
  <c r="BM158"/>
  <c r="BL158"/>
  <c r="AV158"/>
  <c r="BO158" s="1"/>
  <c r="AT158"/>
  <c r="AS158"/>
  <c r="CR151"/>
  <c r="CK151"/>
  <c r="CF151"/>
  <c r="CE151"/>
  <c r="CD151"/>
  <c r="BW151"/>
  <c r="BM151"/>
  <c r="BK151"/>
  <c r="BJ151"/>
  <c r="BI151"/>
  <c r="BE151"/>
  <c r="BE8" s="1"/>
  <c r="BD151"/>
  <c r="BD8" s="1"/>
  <c r="BB151"/>
  <c r="BA151"/>
  <c r="AZ151"/>
  <c r="AZ8" s="1"/>
  <c r="AY151"/>
  <c r="AY8" s="1"/>
  <c r="AX151"/>
  <c r="AW151"/>
  <c r="AV151"/>
  <c r="BO151" s="1"/>
  <c r="AU151"/>
  <c r="BN151" s="1"/>
  <c r="AT151"/>
  <c r="AS151"/>
  <c r="BL151" s="1"/>
  <c r="CG151" s="1"/>
  <c r="AP151"/>
  <c r="CR8" s="1"/>
  <c r="CX150"/>
  <c r="CW150"/>
  <c r="CV150"/>
  <c r="CU150"/>
  <c r="CT150"/>
  <c r="CS150"/>
  <c r="CO150"/>
  <c r="CM150"/>
  <c r="CL150"/>
  <c r="CG150"/>
  <c r="CF150"/>
  <c r="CE150"/>
  <c r="CC150"/>
  <c r="CB150"/>
  <c r="CA150"/>
  <c r="BZ150"/>
  <c r="BY150"/>
  <c r="BX150"/>
  <c r="BV150"/>
  <c r="BR150"/>
  <c r="BQ150"/>
  <c r="BN150"/>
  <c r="BK150"/>
  <c r="BJ150"/>
  <c r="BB150"/>
  <c r="BA150"/>
  <c r="AZ150"/>
  <c r="AY150"/>
  <c r="AX150"/>
  <c r="AW150"/>
  <c r="G144"/>
  <c r="E143" s="1"/>
  <c r="E144"/>
  <c r="B144"/>
  <c r="AM143"/>
  <c r="AC143"/>
  <c r="G143"/>
  <c r="B143"/>
  <c r="BF151" s="1"/>
  <c r="AM142"/>
  <c r="AL142"/>
  <c r="AL143" s="1"/>
  <c r="AK142"/>
  <c r="AJ142"/>
  <c r="Z142"/>
  <c r="G142"/>
  <c r="E142"/>
  <c r="BP151" s="1"/>
  <c r="D142"/>
  <c r="C142"/>
  <c r="A142"/>
  <c r="AM141"/>
  <c r="AL141"/>
  <c r="AK141"/>
  <c r="AJ141"/>
  <c r="G141"/>
  <c r="B141"/>
  <c r="CL140"/>
  <c r="BQ140"/>
  <c r="B140"/>
  <c r="BJ140" s="1"/>
  <c r="BM138"/>
  <c r="BL138"/>
  <c r="CA138" s="1"/>
  <c r="AV138"/>
  <c r="BO138" s="1"/>
  <c r="AT138"/>
  <c r="AS138"/>
  <c r="CR131"/>
  <c r="CK131"/>
  <c r="CH131"/>
  <c r="CW131" s="1"/>
  <c r="CW7" s="1"/>
  <c r="CG131"/>
  <c r="CG7" s="1"/>
  <c r="CF131"/>
  <c r="CE131"/>
  <c r="CD131"/>
  <c r="CC131"/>
  <c r="CC7" s="1"/>
  <c r="BW131"/>
  <c r="BT131"/>
  <c r="BS131"/>
  <c r="BN131"/>
  <c r="BM131"/>
  <c r="BK131"/>
  <c r="BJ131"/>
  <c r="BJ7" s="1"/>
  <c r="BI131"/>
  <c r="BI7" s="1"/>
  <c r="BE131"/>
  <c r="BD131"/>
  <c r="BB131"/>
  <c r="BA131"/>
  <c r="AZ131"/>
  <c r="AY131"/>
  <c r="AX131"/>
  <c r="AW131"/>
  <c r="AV131"/>
  <c r="BO131" s="1"/>
  <c r="AU131"/>
  <c r="AT131"/>
  <c r="AS131"/>
  <c r="BL131" s="1"/>
  <c r="BL7" s="1"/>
  <c r="AP131"/>
  <c r="CX130"/>
  <c r="CW130"/>
  <c r="CV130"/>
  <c r="CU130"/>
  <c r="CT130"/>
  <c r="CS130"/>
  <c r="CP130"/>
  <c r="CM130"/>
  <c r="CL130"/>
  <c r="CF130"/>
  <c r="CE130"/>
  <c r="CC130"/>
  <c r="CB130"/>
  <c r="CA130"/>
  <c r="BZ130"/>
  <c r="BY130"/>
  <c r="BX130"/>
  <c r="BS130"/>
  <c r="BR130"/>
  <c r="BQ130"/>
  <c r="BM130"/>
  <c r="BK130"/>
  <c r="BJ130"/>
  <c r="BB130"/>
  <c r="BA130"/>
  <c r="AZ130"/>
  <c r="AY130"/>
  <c r="AX130"/>
  <c r="AW130"/>
  <c r="AU130"/>
  <c r="G124"/>
  <c r="E123" s="1"/>
  <c r="E124"/>
  <c r="B124"/>
  <c r="AL123"/>
  <c r="AC123"/>
  <c r="G123"/>
  <c r="B123"/>
  <c r="BF131" s="1"/>
  <c r="AM122"/>
  <c r="AL122"/>
  <c r="AK122"/>
  <c r="AJ122"/>
  <c r="Z122"/>
  <c r="G122"/>
  <c r="E122"/>
  <c r="BP131" s="1"/>
  <c r="D122"/>
  <c r="C122"/>
  <c r="C8" s="1"/>
  <c r="A122"/>
  <c r="AM121"/>
  <c r="AL121"/>
  <c r="AK121"/>
  <c r="AJ121"/>
  <c r="G121"/>
  <c r="B121"/>
  <c r="B120"/>
  <c r="CA118"/>
  <c r="BM118"/>
  <c r="BL118"/>
  <c r="AV118"/>
  <c r="BO118" s="1"/>
  <c r="AT118"/>
  <c r="AS118"/>
  <c r="CR111"/>
  <c r="CK111"/>
  <c r="CF111"/>
  <c r="CE111"/>
  <c r="CD111"/>
  <c r="BW111"/>
  <c r="BM111"/>
  <c r="BK111"/>
  <c r="BJ111"/>
  <c r="BI111"/>
  <c r="BE111"/>
  <c r="BE6" s="1"/>
  <c r="BD111"/>
  <c r="BD6" s="1"/>
  <c r="BB111"/>
  <c r="BA111"/>
  <c r="AZ111"/>
  <c r="AZ6" s="1"/>
  <c r="AY111"/>
  <c r="AY6" s="1"/>
  <c r="AX111"/>
  <c r="AW111"/>
  <c r="AV111"/>
  <c r="BO111" s="1"/>
  <c r="AU111"/>
  <c r="BN111" s="1"/>
  <c r="AT111"/>
  <c r="AS111"/>
  <c r="BL111" s="1"/>
  <c r="CG111" s="1"/>
  <c r="AP111"/>
  <c r="CR6" s="1"/>
  <c r="CX110"/>
  <c r="CW110"/>
  <c r="CV110"/>
  <c r="CU110"/>
  <c r="CT110"/>
  <c r="CS110"/>
  <c r="CO110"/>
  <c r="CM110"/>
  <c r="CL110"/>
  <c r="CG110"/>
  <c r="CF110"/>
  <c r="CE110"/>
  <c r="CC110"/>
  <c r="CB110"/>
  <c r="CA110"/>
  <c r="BZ110"/>
  <c r="BY110"/>
  <c r="BX110"/>
  <c r="BV110"/>
  <c r="BR110"/>
  <c r="BQ110"/>
  <c r="BN110"/>
  <c r="BK110"/>
  <c r="BJ110"/>
  <c r="BB110"/>
  <c r="BA110"/>
  <c r="AZ110"/>
  <c r="AY110"/>
  <c r="AX110"/>
  <c r="AW110"/>
  <c r="G104"/>
  <c r="E103" s="1"/>
  <c r="E104"/>
  <c r="B104"/>
  <c r="AM103"/>
  <c r="AC103"/>
  <c r="G103"/>
  <c r="B103"/>
  <c r="BF111" s="1"/>
  <c r="AM102"/>
  <c r="AL102"/>
  <c r="AL103" s="1"/>
  <c r="AK102"/>
  <c r="AJ102"/>
  <c r="Z102"/>
  <c r="G102"/>
  <c r="E102"/>
  <c r="BP111" s="1"/>
  <c r="D102"/>
  <c r="C102"/>
  <c r="A102"/>
  <c r="AM101"/>
  <c r="AL101"/>
  <c r="AK101"/>
  <c r="AJ101"/>
  <c r="G101"/>
  <c r="B101"/>
  <c r="BJ100"/>
  <c r="B100"/>
  <c r="CL100" s="1"/>
  <c r="BM98"/>
  <c r="BL98"/>
  <c r="CA98" s="1"/>
  <c r="AV98"/>
  <c r="BO98" s="1"/>
  <c r="AT98"/>
  <c r="AS98"/>
  <c r="CR91"/>
  <c r="CK91"/>
  <c r="CH91"/>
  <c r="CW91" s="1"/>
  <c r="CW5" s="1"/>
  <c r="CG91"/>
  <c r="CG5" s="1"/>
  <c r="CF91"/>
  <c r="CE91"/>
  <c r="CD91"/>
  <c r="CC91"/>
  <c r="CC5" s="1"/>
  <c r="BW91"/>
  <c r="BT91"/>
  <c r="BS91"/>
  <c r="BN91"/>
  <c r="BM91"/>
  <c r="BK91"/>
  <c r="BJ91"/>
  <c r="BJ5" s="1"/>
  <c r="BI91"/>
  <c r="BI5" s="1"/>
  <c r="BE91"/>
  <c r="BD91"/>
  <c r="BB91"/>
  <c r="BA91"/>
  <c r="AZ91"/>
  <c r="AY91"/>
  <c r="AX91"/>
  <c r="AW91"/>
  <c r="AV91"/>
  <c r="BO91" s="1"/>
  <c r="AU91"/>
  <c r="AT91"/>
  <c r="AS91"/>
  <c r="BL91" s="1"/>
  <c r="BL5" s="1"/>
  <c r="AP91"/>
  <c r="CX90"/>
  <c r="CW90"/>
  <c r="CV90"/>
  <c r="CU90"/>
  <c r="CT90"/>
  <c r="CS90"/>
  <c r="CP90"/>
  <c r="CM90"/>
  <c r="CL90"/>
  <c r="CF90"/>
  <c r="CE90"/>
  <c r="CC90"/>
  <c r="CB90"/>
  <c r="CA90"/>
  <c r="BZ90"/>
  <c r="BY90"/>
  <c r="BX90"/>
  <c r="BS90"/>
  <c r="BR90"/>
  <c r="BQ90"/>
  <c r="BM90"/>
  <c r="BK90"/>
  <c r="BJ90"/>
  <c r="BB90"/>
  <c r="BA90"/>
  <c r="AZ90"/>
  <c r="AY90"/>
  <c r="AX90"/>
  <c r="AW90"/>
  <c r="AU90"/>
  <c r="G84"/>
  <c r="E83" s="1"/>
  <c r="E84"/>
  <c r="B84"/>
  <c r="AL83"/>
  <c r="AC83"/>
  <c r="G83"/>
  <c r="B83"/>
  <c r="BF91" s="1"/>
  <c r="AM82"/>
  <c r="AL82"/>
  <c r="AK82"/>
  <c r="AJ82"/>
  <c r="Z82"/>
  <c r="G82"/>
  <c r="E82"/>
  <c r="BP91" s="1"/>
  <c r="D82"/>
  <c r="C82"/>
  <c r="C6" s="1"/>
  <c r="A82"/>
  <c r="AM81"/>
  <c r="AL81"/>
  <c r="AK81"/>
  <c r="AJ81"/>
  <c r="G81"/>
  <c r="B81"/>
  <c r="B80"/>
  <c r="CA78"/>
  <c r="BM78"/>
  <c r="BL78"/>
  <c r="AV78"/>
  <c r="BO78" s="1"/>
  <c r="AT78"/>
  <c r="AS78"/>
  <c r="CR71"/>
  <c r="CK71"/>
  <c r="CF71"/>
  <c r="CE71"/>
  <c r="CD71"/>
  <c r="BW71"/>
  <c r="BM71"/>
  <c r="BK71"/>
  <c r="BJ71"/>
  <c r="BI71"/>
  <c r="BE71"/>
  <c r="BD71"/>
  <c r="BB71"/>
  <c r="BA71"/>
  <c r="AZ71"/>
  <c r="AZ4" s="1"/>
  <c r="AY71"/>
  <c r="AY4" s="1"/>
  <c r="AX71"/>
  <c r="AW71"/>
  <c r="AV71"/>
  <c r="BO71" s="1"/>
  <c r="AU71"/>
  <c r="BN71" s="1"/>
  <c r="BN4" s="1"/>
  <c r="AT71"/>
  <c r="AS71"/>
  <c r="BL71" s="1"/>
  <c r="CG71" s="1"/>
  <c r="AP71"/>
  <c r="CY4" s="1"/>
  <c r="CX70"/>
  <c r="CW70"/>
  <c r="CV70"/>
  <c r="CU70"/>
  <c r="CT70"/>
  <c r="CS70"/>
  <c r="CO70"/>
  <c r="CM70"/>
  <c r="CL70"/>
  <c r="CG70"/>
  <c r="CF70"/>
  <c r="CE70"/>
  <c r="CC70"/>
  <c r="CB70"/>
  <c r="CA70"/>
  <c r="BZ70"/>
  <c r="BY70"/>
  <c r="BX70"/>
  <c r="BV70"/>
  <c r="BR70"/>
  <c r="BQ70"/>
  <c r="BN70"/>
  <c r="BK70"/>
  <c r="BJ70"/>
  <c r="BB70"/>
  <c r="BA70"/>
  <c r="AZ70"/>
  <c r="AY70"/>
  <c r="AX70"/>
  <c r="AW70"/>
  <c r="G64"/>
  <c r="E63" s="1"/>
  <c r="E64"/>
  <c r="B64"/>
  <c r="AM63"/>
  <c r="AC63"/>
  <c r="G63"/>
  <c r="B63"/>
  <c r="BF71" s="1"/>
  <c r="BF4" s="1"/>
  <c r="AL63"/>
  <c r="G62"/>
  <c r="E62"/>
  <c r="D62"/>
  <c r="C62"/>
  <c r="A62"/>
  <c r="AM61"/>
  <c r="AL61"/>
  <c r="AK61"/>
  <c r="AJ61"/>
  <c r="G61"/>
  <c r="B61"/>
  <c r="B60"/>
  <c r="CS60" s="1"/>
  <c r="BL58"/>
  <c r="CA58" s="1"/>
  <c r="AV58"/>
  <c r="BO58" s="1"/>
  <c r="AT58"/>
  <c r="BM58" s="1"/>
  <c r="AS58"/>
  <c r="CF51"/>
  <c r="CE51"/>
  <c r="BK51"/>
  <c r="BJ51"/>
  <c r="BI51"/>
  <c r="BI3" s="1"/>
  <c r="BD51"/>
  <c r="BB51"/>
  <c r="BB3" s="1"/>
  <c r="BA51"/>
  <c r="BA3" s="1"/>
  <c r="AZ51"/>
  <c r="AY51"/>
  <c r="AY3" s="1"/>
  <c r="AX51"/>
  <c r="AX3" s="1"/>
  <c r="AW51"/>
  <c r="AW3" s="1"/>
  <c r="CX50"/>
  <c r="CW50"/>
  <c r="CV50"/>
  <c r="CU50"/>
  <c r="CT50"/>
  <c r="CS50"/>
  <c r="CO50"/>
  <c r="CM50"/>
  <c r="CL50"/>
  <c r="CF50"/>
  <c r="CE50"/>
  <c r="CC50"/>
  <c r="CB50"/>
  <c r="CA50"/>
  <c r="BZ50"/>
  <c r="BY50"/>
  <c r="BX50"/>
  <c r="BU50"/>
  <c r="BR50"/>
  <c r="BQ50"/>
  <c r="BK50"/>
  <c r="BJ50"/>
  <c r="BB50"/>
  <c r="BA50"/>
  <c r="AZ50"/>
  <c r="AY50"/>
  <c r="AX50"/>
  <c r="AW50"/>
  <c r="G44"/>
  <c r="E44"/>
  <c r="B44"/>
  <c r="AC43"/>
  <c r="G43"/>
  <c r="AU51" s="1"/>
  <c r="B43"/>
  <c r="BF51" s="1"/>
  <c r="G42"/>
  <c r="AS51" s="1"/>
  <c r="E42"/>
  <c r="D42"/>
  <c r="BE51" s="1"/>
  <c r="BE3" s="1"/>
  <c r="C42"/>
  <c r="AM41"/>
  <c r="AL41"/>
  <c r="AK41"/>
  <c r="AJ41"/>
  <c r="G4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F34"/>
  <c r="CE34"/>
  <c r="BY34"/>
  <c r="BR34"/>
  <c r="AI18" s="1"/>
  <c r="BK34"/>
  <c r="BG34"/>
  <c r="AX34"/>
  <c r="D34"/>
  <c r="CX33"/>
  <c r="CW33"/>
  <c r="CV33"/>
  <c r="CU33"/>
  <c r="CT33"/>
  <c r="CP33"/>
  <c r="CO33"/>
  <c r="CF33"/>
  <c r="CC33"/>
  <c r="CB33"/>
  <c r="CA33"/>
  <c r="BZ33"/>
  <c r="BV33"/>
  <c r="BU33"/>
  <c r="BJ33"/>
  <c r="F33" s="1"/>
  <c r="BI33"/>
  <c r="BH33"/>
  <c r="BF33"/>
  <c r="BF34" s="1"/>
  <c r="AV33"/>
  <c r="AU33"/>
  <c r="K33"/>
  <c r="J33"/>
  <c r="I33"/>
  <c r="H33"/>
  <c r="G33"/>
  <c r="E33"/>
  <c r="AM17"/>
  <c r="AL17"/>
  <c r="AK17"/>
  <c r="AJ17"/>
  <c r="F11"/>
  <c r="E11"/>
  <c r="D11"/>
  <c r="B11"/>
  <c r="CT10"/>
  <c r="CS10"/>
  <c r="CM10"/>
  <c r="CL10"/>
  <c r="CF10"/>
  <c r="CE10"/>
  <c r="BY10"/>
  <c r="BX10"/>
  <c r="BR10"/>
  <c r="BQ10"/>
  <c r="BM10"/>
  <c r="BL10"/>
  <c r="BK10"/>
  <c r="BJ10"/>
  <c r="BI10"/>
  <c r="BD10"/>
  <c r="BC10"/>
  <c r="BB10"/>
  <c r="BA10"/>
  <c r="AZ10"/>
  <c r="AY10"/>
  <c r="AX10"/>
  <c r="AW10"/>
  <c r="AV10"/>
  <c r="AU10"/>
  <c r="AT10"/>
  <c r="AS10"/>
  <c r="AR10"/>
  <c r="AQ10"/>
  <c r="F10"/>
  <c r="E10"/>
  <c r="D10"/>
  <c r="B10"/>
  <c r="CY9"/>
  <c r="CT9"/>
  <c r="CS9"/>
  <c r="CR9"/>
  <c r="CM9"/>
  <c r="CL9"/>
  <c r="CK9"/>
  <c r="CH9"/>
  <c r="CF9"/>
  <c r="CE9"/>
  <c r="CD9"/>
  <c r="BY9"/>
  <c r="BX9"/>
  <c r="BW9"/>
  <c r="BT9"/>
  <c r="BR9"/>
  <c r="BQ9"/>
  <c r="BP9"/>
  <c r="BO9"/>
  <c r="BM9"/>
  <c r="BL9"/>
  <c r="BK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F9"/>
  <c r="E9"/>
  <c r="D9"/>
  <c r="C9"/>
  <c r="B9"/>
  <c r="CY8"/>
  <c r="CT8"/>
  <c r="CS8"/>
  <c r="CM8"/>
  <c r="CL8"/>
  <c r="CF8"/>
  <c r="CE8"/>
  <c r="BY8"/>
  <c r="BX8"/>
  <c r="BW8"/>
  <c r="BR8"/>
  <c r="BQ8"/>
  <c r="BO8"/>
  <c r="BL8"/>
  <c r="BK8"/>
  <c r="BJ8"/>
  <c r="BI8"/>
  <c r="BF8"/>
  <c r="BC8"/>
  <c r="BB8"/>
  <c r="BA8"/>
  <c r="AX8"/>
  <c r="AW8"/>
  <c r="AT8"/>
  <c r="AS8"/>
  <c r="AR8"/>
  <c r="AQ8"/>
  <c r="AP8"/>
  <c r="F8"/>
  <c r="E8"/>
  <c r="D8"/>
  <c r="B8"/>
  <c r="CY7"/>
  <c r="CT7"/>
  <c r="CS7"/>
  <c r="CR7"/>
  <c r="CM7"/>
  <c r="CL7"/>
  <c r="CK7"/>
  <c r="CH7"/>
  <c r="CF7"/>
  <c r="CE7"/>
  <c r="CD7"/>
  <c r="BY7"/>
  <c r="BX7"/>
  <c r="BW7"/>
  <c r="BT7"/>
  <c r="BS7"/>
  <c r="BR7"/>
  <c r="BQ7"/>
  <c r="BP7"/>
  <c r="BO7"/>
  <c r="BN7"/>
  <c r="BM7"/>
  <c r="BK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F7"/>
  <c r="E7"/>
  <c r="D7"/>
  <c r="C7"/>
  <c r="B7"/>
  <c r="CY6"/>
  <c r="CT6"/>
  <c r="CS6"/>
  <c r="CM6"/>
  <c r="CL6"/>
  <c r="CF6"/>
  <c r="CE6"/>
  <c r="BY6"/>
  <c r="BX6"/>
  <c r="BW6"/>
  <c r="BR6"/>
  <c r="BQ6"/>
  <c r="BO6"/>
  <c r="BL6"/>
  <c r="BK6"/>
  <c r="BJ6"/>
  <c r="BI6"/>
  <c r="BF6"/>
  <c r="BC6"/>
  <c r="BB6"/>
  <c r="BA6"/>
  <c r="AX6"/>
  <c r="AW6"/>
  <c r="AT6"/>
  <c r="AS6"/>
  <c r="AR6"/>
  <c r="AQ6"/>
  <c r="AP6"/>
  <c r="F6"/>
  <c r="E6"/>
  <c r="D6"/>
  <c r="B6"/>
  <c r="CY5"/>
  <c r="CT5"/>
  <c r="CS5"/>
  <c r="CR5"/>
  <c r="CM5"/>
  <c r="CL5"/>
  <c r="CK5"/>
  <c r="CH5"/>
  <c r="CF5"/>
  <c r="CE5"/>
  <c r="CD5"/>
  <c r="BY5"/>
  <c r="BX5"/>
  <c r="BW5"/>
  <c r="BT5"/>
  <c r="BS5"/>
  <c r="BR5"/>
  <c r="BQ5"/>
  <c r="BP5"/>
  <c r="BO5"/>
  <c r="BN5"/>
  <c r="BM5"/>
  <c r="BK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F5"/>
  <c r="E5"/>
  <c r="D5"/>
  <c r="C5"/>
  <c r="B5"/>
  <c r="CT4"/>
  <c r="CS4"/>
  <c r="CM4"/>
  <c r="CL4"/>
  <c r="CF4"/>
  <c r="CE4"/>
  <c r="CD4"/>
  <c r="BY4"/>
  <c r="BX4"/>
  <c r="BR4"/>
  <c r="BQ4"/>
  <c r="BL4"/>
  <c r="BK4"/>
  <c r="BJ4"/>
  <c r="BI4"/>
  <c r="BE4"/>
  <c r="BD4"/>
  <c r="BC4"/>
  <c r="BB4"/>
  <c r="BA4"/>
  <c r="AX4"/>
  <c r="AW4"/>
  <c r="AT4"/>
  <c r="AS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4"/>
  <c r="C4"/>
  <c r="CT3"/>
  <c r="CS3"/>
  <c r="CS33" s="1"/>
  <c r="CS34" s="1"/>
  <c r="CM3"/>
  <c r="CM33" s="1"/>
  <c r="CL3"/>
  <c r="CL33" s="1"/>
  <c r="CL34" s="1"/>
  <c r="CF3"/>
  <c r="CE3"/>
  <c r="CE33" s="1"/>
  <c r="BY3"/>
  <c r="BY33" s="1"/>
  <c r="BX3"/>
  <c r="BX33" s="1"/>
  <c r="BX34" s="1"/>
  <c r="BR3"/>
  <c r="BR33" s="1"/>
  <c r="AI17" s="1"/>
  <c r="BQ3"/>
  <c r="BQ33" s="1"/>
  <c r="BQ34" s="1"/>
  <c r="BK3"/>
  <c r="BK33" s="1"/>
  <c r="BJ3"/>
  <c r="BF3"/>
  <c r="BD3"/>
  <c r="BC3"/>
  <c r="AZ3"/>
  <c r="AR3"/>
  <c r="AQ3"/>
  <c r="B2"/>
  <c r="B32" s="1"/>
  <c r="CT1"/>
  <c r="CS1"/>
  <c r="CQ1"/>
  <c r="CP1"/>
  <c r="CP50" s="1"/>
  <c r="CO1"/>
  <c r="CO170" s="1"/>
  <c r="CN1"/>
  <c r="CM1"/>
  <c r="CL1"/>
  <c r="CJ1"/>
  <c r="CI1"/>
  <c r="CI50" s="1"/>
  <c r="CH1"/>
  <c r="CG1"/>
  <c r="CG50" s="1"/>
  <c r="CF1"/>
  <c r="CE1"/>
  <c r="BY1"/>
  <c r="BX1"/>
  <c r="BV1"/>
  <c r="BV170" s="1"/>
  <c r="BU1"/>
  <c r="BT1"/>
  <c r="BS1"/>
  <c r="BR1"/>
  <c r="BQ1"/>
  <c r="BO1"/>
  <c r="BN1"/>
  <c r="BN50" s="1"/>
  <c r="BM1"/>
  <c r="BM50" s="1"/>
  <c r="BL1"/>
  <c r="BK1"/>
  <c r="BJ1"/>
  <c r="BB1"/>
  <c r="BB33" s="1"/>
  <c r="BA1"/>
  <c r="BA33" s="1"/>
  <c r="AZ1"/>
  <c r="AZ33" s="1"/>
  <c r="AY1"/>
  <c r="AY33" s="1"/>
  <c r="AX1"/>
  <c r="AW1"/>
  <c r="AV1"/>
  <c r="AU1"/>
  <c r="AU50" s="1"/>
  <c r="AT1"/>
  <c r="AS1"/>
  <c r="AA1"/>
  <c r="E1"/>
  <c r="CK34" s="1"/>
  <c r="D1"/>
  <c r="C1"/>
  <c r="B1"/>
  <c r="B33" s="1"/>
  <c r="CL200" i="56"/>
  <c r="BJ200"/>
  <c r="AQ200"/>
  <c r="B200"/>
  <c r="CS200" s="1"/>
  <c r="AV198"/>
  <c r="BO198" s="1"/>
  <c r="AT198"/>
  <c r="BM198" s="1"/>
  <c r="AS198"/>
  <c r="BL198" s="1"/>
  <c r="CA198" s="1"/>
  <c r="CJ191"/>
  <c r="CJ10" s="1"/>
  <c r="CF191"/>
  <c r="CE191"/>
  <c r="CC191"/>
  <c r="CC10" s="1"/>
  <c r="BW191"/>
  <c r="BV191"/>
  <c r="BP191"/>
  <c r="BO191"/>
  <c r="BL191"/>
  <c r="BL10" s="1"/>
  <c r="BK191"/>
  <c r="BJ191"/>
  <c r="BI191"/>
  <c r="BG191"/>
  <c r="BD191"/>
  <c r="BD10" s="1"/>
  <c r="BB191"/>
  <c r="BA191"/>
  <c r="AZ191"/>
  <c r="AY191"/>
  <c r="AY10" s="1"/>
  <c r="AX191"/>
  <c r="AW191"/>
  <c r="AV191"/>
  <c r="AU191"/>
  <c r="BN191" s="1"/>
  <c r="AT191"/>
  <c r="BM191" s="1"/>
  <c r="AS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R190"/>
  <c r="BQ190"/>
  <c r="BM190"/>
  <c r="BL190"/>
  <c r="BK190"/>
  <c r="BJ190"/>
  <c r="BB190"/>
  <c r="BA190"/>
  <c r="AZ190"/>
  <c r="AY190"/>
  <c r="AX190"/>
  <c r="AW190"/>
  <c r="AR189"/>
  <c r="G184"/>
  <c r="E184"/>
  <c r="B184"/>
  <c r="AC183"/>
  <c r="G183"/>
  <c r="E183"/>
  <c r="B183"/>
  <c r="BF191" s="1"/>
  <c r="AM182"/>
  <c r="AL182"/>
  <c r="AK182"/>
  <c r="AJ182"/>
  <c r="G182"/>
  <c r="E182"/>
  <c r="D182"/>
  <c r="BE191" s="1"/>
  <c r="BE10" s="1"/>
  <c r="C182"/>
  <c r="A182"/>
  <c r="AM181"/>
  <c r="AL181"/>
  <c r="AK181"/>
  <c r="AJ181"/>
  <c r="G181"/>
  <c r="B181"/>
  <c r="B180"/>
  <c r="CS180" s="1"/>
  <c r="BO178"/>
  <c r="AV178"/>
  <c r="AT178"/>
  <c r="BM178" s="1"/>
  <c r="AS178"/>
  <c r="BL178" s="1"/>
  <c r="CA178" s="1"/>
  <c r="CJ171"/>
  <c r="CQ171" s="1"/>
  <c r="CQ9" s="1"/>
  <c r="CF171"/>
  <c r="CF9" s="1"/>
  <c r="CE171"/>
  <c r="CC171"/>
  <c r="BW171"/>
  <c r="BV171"/>
  <c r="BO171"/>
  <c r="BL171"/>
  <c r="BS171" s="1"/>
  <c r="BS9" s="1"/>
  <c r="BK171"/>
  <c r="BJ171"/>
  <c r="BI171"/>
  <c r="BD171"/>
  <c r="BB171"/>
  <c r="BB9" s="1"/>
  <c r="BA171"/>
  <c r="AZ171"/>
  <c r="AY171"/>
  <c r="AX171"/>
  <c r="AX9" s="1"/>
  <c r="AW171"/>
  <c r="AV17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I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AS170"/>
  <c r="AR169"/>
  <c r="G164"/>
  <c r="E164"/>
  <c r="E163" s="1"/>
  <c r="B164"/>
  <c r="AC163"/>
  <c r="G163"/>
  <c r="B163"/>
  <c r="BF171" s="1"/>
  <c r="AM162"/>
  <c r="AL162"/>
  <c r="AK162"/>
  <c r="AJ162"/>
  <c r="G162"/>
  <c r="E162"/>
  <c r="D162"/>
  <c r="BE171" s="1"/>
  <c r="C162"/>
  <c r="A162"/>
  <c r="AM161"/>
  <c r="AL161"/>
  <c r="AK161"/>
  <c r="AJ161"/>
  <c r="G161"/>
  <c r="F10" s="1"/>
  <c r="B161"/>
  <c r="CL160"/>
  <c r="BJ160"/>
  <c r="AQ160"/>
  <c r="B160"/>
  <c r="CS160" s="1"/>
  <c r="AV158"/>
  <c r="BO158" s="1"/>
  <c r="AT158"/>
  <c r="BM158" s="1"/>
  <c r="AS158"/>
  <c r="BL158" s="1"/>
  <c r="CA158" s="1"/>
  <c r="CJ151"/>
  <c r="CQ151" s="1"/>
  <c r="CQ8" s="1"/>
  <c r="CF151"/>
  <c r="CE151"/>
  <c r="CC151"/>
  <c r="BW151"/>
  <c r="BV151"/>
  <c r="BP151"/>
  <c r="BO151"/>
  <c r="BL151"/>
  <c r="CG151" s="1"/>
  <c r="CN151" s="1"/>
  <c r="CN8" s="1"/>
  <c r="BK151"/>
  <c r="BJ151"/>
  <c r="BI151"/>
  <c r="BG151"/>
  <c r="BD151"/>
  <c r="BB151"/>
  <c r="BA151"/>
  <c r="AZ151"/>
  <c r="AY151"/>
  <c r="AX151"/>
  <c r="AW151"/>
  <c r="AV151"/>
  <c r="AU151"/>
  <c r="BN151" s="1"/>
  <c r="BN8" s="1"/>
  <c r="AT151"/>
  <c r="BM151" s="1"/>
  <c r="AS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R150"/>
  <c r="BQ150"/>
  <c r="BM150"/>
  <c r="BL150"/>
  <c r="BK150"/>
  <c r="BJ150"/>
  <c r="BB150"/>
  <c r="BA150"/>
  <c r="AZ150"/>
  <c r="AY150"/>
  <c r="AX150"/>
  <c r="AW150"/>
  <c r="AR149"/>
  <c r="G144"/>
  <c r="E144"/>
  <c r="B144"/>
  <c r="AC143"/>
  <c r="G143"/>
  <c r="E143"/>
  <c r="AK143" s="1"/>
  <c r="B143"/>
  <c r="BF151" s="1"/>
  <c r="BF8" s="1"/>
  <c r="AM142"/>
  <c r="AL142"/>
  <c r="AK142"/>
  <c r="AJ142"/>
  <c r="G142"/>
  <c r="E142"/>
  <c r="D142"/>
  <c r="BE151" s="1"/>
  <c r="BE8" s="1"/>
  <c r="C142"/>
  <c r="A142"/>
  <c r="AM141"/>
  <c r="AL141"/>
  <c r="AK141"/>
  <c r="AJ141"/>
  <c r="G141"/>
  <c r="B141"/>
  <c r="B140"/>
  <c r="CS140" s="1"/>
  <c r="BO138"/>
  <c r="AV138"/>
  <c r="AT138"/>
  <c r="BM138" s="1"/>
  <c r="AS138"/>
  <c r="BL138" s="1"/>
  <c r="CA138" s="1"/>
  <c r="CJ131"/>
  <c r="CQ131" s="1"/>
  <c r="CQ7" s="1"/>
  <c r="CF131"/>
  <c r="CF7" s="1"/>
  <c r="CE131"/>
  <c r="CC131"/>
  <c r="BW131"/>
  <c r="BV131"/>
  <c r="BV7" s="1"/>
  <c r="BO131"/>
  <c r="BL131"/>
  <c r="BS131" s="1"/>
  <c r="BS7" s="1"/>
  <c r="BK131"/>
  <c r="BJ131"/>
  <c r="BI131"/>
  <c r="BD131"/>
  <c r="BB131"/>
  <c r="BB7" s="1"/>
  <c r="BA131"/>
  <c r="AZ131"/>
  <c r="AY131"/>
  <c r="AX131"/>
  <c r="AX7" s="1"/>
  <c r="AW131"/>
  <c r="AV131"/>
  <c r="AU131"/>
  <c r="BN131" s="1"/>
  <c r="AT131"/>
  <c r="AT7" s="1"/>
  <c r="AS131"/>
  <c r="CX130"/>
  <c r="CW130"/>
  <c r="CV130"/>
  <c r="CU130"/>
  <c r="CT130"/>
  <c r="CS130"/>
  <c r="CO130"/>
  <c r="CN130"/>
  <c r="CM130"/>
  <c r="CL130"/>
  <c r="CJ130"/>
  <c r="CI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AS130"/>
  <c r="AR129"/>
  <c r="G124"/>
  <c r="E124"/>
  <c r="E123" s="1"/>
  <c r="B124"/>
  <c r="AC123"/>
  <c r="G123"/>
  <c r="B123"/>
  <c r="BF131" s="1"/>
  <c r="AM122"/>
  <c r="AL122"/>
  <c r="AK122"/>
  <c r="AJ122"/>
  <c r="G122"/>
  <c r="E122"/>
  <c r="BP131" s="1"/>
  <c r="D122"/>
  <c r="BE131" s="1"/>
  <c r="C122"/>
  <c r="A122"/>
  <c r="AM121"/>
  <c r="AL121"/>
  <c r="AK121"/>
  <c r="AJ121"/>
  <c r="G121"/>
  <c r="B121"/>
  <c r="CL120"/>
  <c r="BJ120"/>
  <c r="AQ120"/>
  <c r="B120"/>
  <c r="CS120" s="1"/>
  <c r="AV118"/>
  <c r="BO118" s="1"/>
  <c r="AT118"/>
  <c r="BM118" s="1"/>
  <c r="AS118"/>
  <c r="BL118" s="1"/>
  <c r="CA118" s="1"/>
  <c r="CJ111"/>
  <c r="CQ111" s="1"/>
  <c r="CQ6" s="1"/>
  <c r="CF111"/>
  <c r="CE111"/>
  <c r="CC111"/>
  <c r="BW111"/>
  <c r="BV111"/>
  <c r="BP111"/>
  <c r="BO111"/>
  <c r="BL111"/>
  <c r="BL6" s="1"/>
  <c r="BK111"/>
  <c r="BJ111"/>
  <c r="BI111"/>
  <c r="BG111"/>
  <c r="BD111"/>
  <c r="BB111"/>
  <c r="BA111"/>
  <c r="AZ111"/>
  <c r="AY111"/>
  <c r="AX111"/>
  <c r="AW111"/>
  <c r="AV111"/>
  <c r="AU111"/>
  <c r="BN111" s="1"/>
  <c r="BN6" s="1"/>
  <c r="AT111"/>
  <c r="BM111" s="1"/>
  <c r="AS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R110"/>
  <c r="BQ110"/>
  <c r="BM110"/>
  <c r="BL110"/>
  <c r="BK110"/>
  <c r="BJ110"/>
  <c r="BB110"/>
  <c r="BA110"/>
  <c r="AZ110"/>
  <c r="AY110"/>
  <c r="AX110"/>
  <c r="AW110"/>
  <c r="AR109"/>
  <c r="G104"/>
  <c r="E104"/>
  <c r="B104"/>
  <c r="AC103"/>
  <c r="G103"/>
  <c r="E103"/>
  <c r="B103"/>
  <c r="BF111" s="1"/>
  <c r="BF6" s="1"/>
  <c r="AM102"/>
  <c r="AL102"/>
  <c r="AK102"/>
  <c r="AJ102"/>
  <c r="G102"/>
  <c r="E102"/>
  <c r="D102"/>
  <c r="BE111" s="1"/>
  <c r="BE6" s="1"/>
  <c r="C102"/>
  <c r="A102"/>
  <c r="AM101"/>
  <c r="AL101"/>
  <c r="AK101"/>
  <c r="AJ101"/>
  <c r="G101"/>
  <c r="B101"/>
  <c r="B100"/>
  <c r="CS100" s="1"/>
  <c r="BO98"/>
  <c r="AV98"/>
  <c r="AT98"/>
  <c r="BM98" s="1"/>
  <c r="AS98"/>
  <c r="BL98" s="1"/>
  <c r="CA98" s="1"/>
  <c r="CJ91"/>
  <c r="CQ91" s="1"/>
  <c r="CQ5" s="1"/>
  <c r="CF91"/>
  <c r="CF5" s="1"/>
  <c r="CE91"/>
  <c r="CC91"/>
  <c r="BW91"/>
  <c r="BV91"/>
  <c r="BV5" s="1"/>
  <c r="BO91"/>
  <c r="BL91"/>
  <c r="BS91" s="1"/>
  <c r="BS5" s="1"/>
  <c r="BK91"/>
  <c r="BJ91"/>
  <c r="BI91"/>
  <c r="BD91"/>
  <c r="BB91"/>
  <c r="BB5" s="1"/>
  <c r="BA91"/>
  <c r="AZ91"/>
  <c r="AY91"/>
  <c r="AX91"/>
  <c r="AX5" s="1"/>
  <c r="AW91"/>
  <c r="AV91"/>
  <c r="AU91"/>
  <c r="BN91" s="1"/>
  <c r="AT91"/>
  <c r="AT5" s="1"/>
  <c r="AS91"/>
  <c r="CX90"/>
  <c r="CW90"/>
  <c r="CV90"/>
  <c r="CU90"/>
  <c r="CT90"/>
  <c r="CS90"/>
  <c r="CO90"/>
  <c r="CN90"/>
  <c r="CM90"/>
  <c r="CL90"/>
  <c r="CJ90"/>
  <c r="CI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AS90"/>
  <c r="AR89"/>
  <c r="G84"/>
  <c r="E84"/>
  <c r="E83" s="1"/>
  <c r="B84"/>
  <c r="AC83"/>
  <c r="G83"/>
  <c r="B83"/>
  <c r="BF91" s="1"/>
  <c r="AM82"/>
  <c r="AL82"/>
  <c r="AK82"/>
  <c r="AJ82"/>
  <c r="G82"/>
  <c r="E82"/>
  <c r="BP91" s="1"/>
  <c r="D82"/>
  <c r="BE91" s="1"/>
  <c r="C82"/>
  <c r="A82"/>
  <c r="AM81"/>
  <c r="AL81"/>
  <c r="AK81"/>
  <c r="AJ81"/>
  <c r="G81"/>
  <c r="B81"/>
  <c r="CL80"/>
  <c r="BJ80"/>
  <c r="AQ80"/>
  <c r="B80"/>
  <c r="CS80" s="1"/>
  <c r="AV78"/>
  <c r="BO78" s="1"/>
  <c r="AT78"/>
  <c r="BM78" s="1"/>
  <c r="AS78"/>
  <c r="BL78" s="1"/>
  <c r="CA78" s="1"/>
  <c r="CF71"/>
  <c r="CE71"/>
  <c r="BK71"/>
  <c r="BJ71"/>
  <c r="BI71"/>
  <c r="BI4" s="1"/>
  <c r="BD71"/>
  <c r="BD4" s="1"/>
  <c r="BB71"/>
  <c r="BA71"/>
  <c r="BA4" s="1"/>
  <c r="AZ71"/>
  <c r="AZ4" s="1"/>
  <c r="AY71"/>
  <c r="AY4" s="1"/>
  <c r="AX71"/>
  <c r="AW71"/>
  <c r="CX70"/>
  <c r="CW70"/>
  <c r="CV70"/>
  <c r="CU70"/>
  <c r="CT70"/>
  <c r="CS70"/>
  <c r="CM70"/>
  <c r="CL70"/>
  <c r="CF70"/>
  <c r="CE70"/>
  <c r="CC70"/>
  <c r="CB70"/>
  <c r="CA70"/>
  <c r="BZ70"/>
  <c r="BY70"/>
  <c r="BX70"/>
  <c r="BR70"/>
  <c r="BQ70"/>
  <c r="BM70"/>
  <c r="BL70"/>
  <c r="BK70"/>
  <c r="BJ70"/>
  <c r="BB70"/>
  <c r="BA70"/>
  <c r="AZ70"/>
  <c r="AY70"/>
  <c r="AX70"/>
  <c r="AW70"/>
  <c r="G64"/>
  <c r="E64"/>
  <c r="B64"/>
  <c r="AC63"/>
  <c r="G63"/>
  <c r="AT71" s="1"/>
  <c r="B63"/>
  <c r="BF71" s="1"/>
  <c r="G62"/>
  <c r="E62"/>
  <c r="CK71" s="1"/>
  <c r="D62"/>
  <c r="BE71" s="1"/>
  <c r="BE4" s="1"/>
  <c r="C62"/>
  <c r="AM61"/>
  <c r="AL61"/>
  <c r="AK61"/>
  <c r="AJ61"/>
  <c r="G61"/>
  <c r="B61"/>
  <c r="B5" s="1"/>
  <c r="BX60"/>
  <c r="AQ60"/>
  <c r="B60"/>
  <c r="CS60" s="1"/>
  <c r="BO58"/>
  <c r="BM58"/>
  <c r="AV58"/>
  <c r="AT58"/>
  <c r="AS58"/>
  <c r="BL58" s="1"/>
  <c r="CA58" s="1"/>
  <c r="CF51"/>
  <c r="CF3" s="1"/>
  <c r="CF33" s="1"/>
  <c r="CE51"/>
  <c r="BK51"/>
  <c r="BJ51"/>
  <c r="BI51"/>
  <c r="BD51"/>
  <c r="BD3" s="1"/>
  <c r="BB51"/>
  <c r="BB3" s="1"/>
  <c r="BA51"/>
  <c r="BA3" s="1"/>
  <c r="AZ51"/>
  <c r="AY51"/>
  <c r="AY3" s="1"/>
  <c r="AX51"/>
  <c r="AX3" s="1"/>
  <c r="AW51"/>
  <c r="AW3" s="1"/>
  <c r="CX50"/>
  <c r="CW50"/>
  <c r="CV50"/>
  <c r="CU50"/>
  <c r="CT50"/>
  <c r="CS50"/>
  <c r="CM50"/>
  <c r="CL50"/>
  <c r="CF50"/>
  <c r="CE50"/>
  <c r="CC50"/>
  <c r="CB50"/>
  <c r="CA50"/>
  <c r="BZ50"/>
  <c r="BY50"/>
  <c r="BX50"/>
  <c r="BU50"/>
  <c r="BT50"/>
  <c r="BR50"/>
  <c r="BQ50"/>
  <c r="BO50"/>
  <c r="BL50"/>
  <c r="BK50"/>
  <c r="BJ50"/>
  <c r="BB50"/>
  <c r="BA50"/>
  <c r="AZ50"/>
  <c r="AY50"/>
  <c r="AX50"/>
  <c r="AW50"/>
  <c r="G44"/>
  <c r="E44"/>
  <c r="E43" s="1"/>
  <c r="B44"/>
  <c r="AC43"/>
  <c r="G43"/>
  <c r="B43"/>
  <c r="BF51" s="1"/>
  <c r="BF33" s="1"/>
  <c r="BF34" s="1"/>
  <c r="AJ42"/>
  <c r="G42"/>
  <c r="AS51" s="1"/>
  <c r="E42"/>
  <c r="CK51" s="1"/>
  <c r="D42"/>
  <c r="BE51" s="1"/>
  <c r="BE3" s="1"/>
  <c r="C42"/>
  <c r="A42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S34"/>
  <c r="CM34"/>
  <c r="CF34"/>
  <c r="BY34"/>
  <c r="BR34"/>
  <c r="BK34"/>
  <c r="BG34"/>
  <c r="AX34"/>
  <c r="D34"/>
  <c r="CX33"/>
  <c r="CW33"/>
  <c r="CV33"/>
  <c r="CU33"/>
  <c r="CQ33"/>
  <c r="CC33"/>
  <c r="CB33"/>
  <c r="CA33"/>
  <c r="BZ33"/>
  <c r="BX33"/>
  <c r="BX34" s="1"/>
  <c r="BS33"/>
  <c r="BL33"/>
  <c r="BI33"/>
  <c r="BH33"/>
  <c r="BB33"/>
  <c r="BA33"/>
  <c r="K33"/>
  <c r="J33"/>
  <c r="I33"/>
  <c r="H33"/>
  <c r="E33"/>
  <c r="AI18"/>
  <c r="AM17"/>
  <c r="AL17"/>
  <c r="AK17"/>
  <c r="AJ17"/>
  <c r="AI17"/>
  <c r="F11"/>
  <c r="E11"/>
  <c r="D11"/>
  <c r="C11"/>
  <c r="B11"/>
  <c r="CT10"/>
  <c r="CS10"/>
  <c r="CM10"/>
  <c r="CL10"/>
  <c r="CF10"/>
  <c r="CE10"/>
  <c r="BY10"/>
  <c r="BX10"/>
  <c r="BV10"/>
  <c r="BR10"/>
  <c r="BQ10"/>
  <c r="BO10"/>
  <c r="BN10"/>
  <c r="BK10"/>
  <c r="BJ10"/>
  <c r="BI10"/>
  <c r="BF10"/>
  <c r="BC10"/>
  <c r="BB10"/>
  <c r="BA10"/>
  <c r="AZ10"/>
  <c r="AX10"/>
  <c r="AW10"/>
  <c r="AV10"/>
  <c r="AT10"/>
  <c r="AS10"/>
  <c r="AR10"/>
  <c r="AQ10"/>
  <c r="D10"/>
  <c r="C10"/>
  <c r="B10"/>
  <c r="CT9"/>
  <c r="CS9"/>
  <c r="CM9"/>
  <c r="CL9"/>
  <c r="CJ9"/>
  <c r="CE9"/>
  <c r="CC9"/>
  <c r="BY9"/>
  <c r="BX9"/>
  <c r="BV9"/>
  <c r="BR9"/>
  <c r="BQ9"/>
  <c r="BO9"/>
  <c r="BN9"/>
  <c r="BL9"/>
  <c r="BK9"/>
  <c r="BJ9"/>
  <c r="BI9"/>
  <c r="BF9"/>
  <c r="BE9"/>
  <c r="BD9"/>
  <c r="BC9"/>
  <c r="BA9"/>
  <c r="AZ9"/>
  <c r="AY9"/>
  <c r="AW9"/>
  <c r="AV9"/>
  <c r="AU9"/>
  <c r="AS9"/>
  <c r="AR9"/>
  <c r="AQ9"/>
  <c r="F9"/>
  <c r="E9"/>
  <c r="D9"/>
  <c r="C9"/>
  <c r="B9"/>
  <c r="CT8"/>
  <c r="CS8"/>
  <c r="CM8"/>
  <c r="CL8"/>
  <c r="CG8"/>
  <c r="CF8"/>
  <c r="CE8"/>
  <c r="CC8"/>
  <c r="BY8"/>
  <c r="BX8"/>
  <c r="BV8"/>
  <c r="BR8"/>
  <c r="BQ8"/>
  <c r="BO8"/>
  <c r="BK8"/>
  <c r="BJ8"/>
  <c r="BI8"/>
  <c r="BD8"/>
  <c r="BC8"/>
  <c r="BB8"/>
  <c r="BA8"/>
  <c r="AZ8"/>
  <c r="AY8"/>
  <c r="AX8"/>
  <c r="AW8"/>
  <c r="AV8"/>
  <c r="AU8"/>
  <c r="AT8"/>
  <c r="AS8"/>
  <c r="AR8"/>
  <c r="AQ8"/>
  <c r="F8"/>
  <c r="D8"/>
  <c r="C8"/>
  <c r="B8"/>
  <c r="CT7"/>
  <c r="CS7"/>
  <c r="CM7"/>
  <c r="CL7"/>
  <c r="CJ7"/>
  <c r="CE7"/>
  <c r="CC7"/>
  <c r="BY7"/>
  <c r="BX7"/>
  <c r="BR7"/>
  <c r="BQ7"/>
  <c r="BO7"/>
  <c r="BN7"/>
  <c r="BL7"/>
  <c r="BK7"/>
  <c r="BJ7"/>
  <c r="BI7"/>
  <c r="BF7"/>
  <c r="BE7"/>
  <c r="BD7"/>
  <c r="BC7"/>
  <c r="BA7"/>
  <c r="AZ7"/>
  <c r="AY7"/>
  <c r="AW7"/>
  <c r="AV7"/>
  <c r="AU7"/>
  <c r="AS7"/>
  <c r="AR7"/>
  <c r="AQ7"/>
  <c r="F7"/>
  <c r="E7"/>
  <c r="D7"/>
  <c r="C7"/>
  <c r="B7"/>
  <c r="CT6"/>
  <c r="CS6"/>
  <c r="CM6"/>
  <c r="CL6"/>
  <c r="CF6"/>
  <c r="CE6"/>
  <c r="CC6"/>
  <c r="BY6"/>
  <c r="BX6"/>
  <c r="BV6"/>
  <c r="BR6"/>
  <c r="BQ6"/>
  <c r="BO6"/>
  <c r="BK6"/>
  <c r="BJ6"/>
  <c r="BI6"/>
  <c r="BD6"/>
  <c r="BC6"/>
  <c r="BB6"/>
  <c r="BA6"/>
  <c r="AZ6"/>
  <c r="AY6"/>
  <c r="AX6"/>
  <c r="AW6"/>
  <c r="AV6"/>
  <c r="AU6"/>
  <c r="AT6"/>
  <c r="AS6"/>
  <c r="AR6"/>
  <c r="AQ6"/>
  <c r="F6"/>
  <c r="D6"/>
  <c r="C6"/>
  <c r="B6"/>
  <c r="CT5"/>
  <c r="CS5"/>
  <c r="CM5"/>
  <c r="CL5"/>
  <c r="CJ5"/>
  <c r="CE5"/>
  <c r="CC5"/>
  <c r="BY5"/>
  <c r="BX5"/>
  <c r="BR5"/>
  <c r="BQ5"/>
  <c r="BO5"/>
  <c r="BN5"/>
  <c r="BL5"/>
  <c r="BK5"/>
  <c r="BJ5"/>
  <c r="BI5"/>
  <c r="BF5"/>
  <c r="BE5"/>
  <c r="BD5"/>
  <c r="BC5"/>
  <c r="BA5"/>
  <c r="AZ5"/>
  <c r="AY5"/>
  <c r="AW5"/>
  <c r="AV5"/>
  <c r="AU5"/>
  <c r="AS5"/>
  <c r="AR5"/>
  <c r="AQ5"/>
  <c r="F5"/>
  <c r="C5"/>
  <c r="CT4"/>
  <c r="CS4"/>
  <c r="CM4"/>
  <c r="CL4"/>
  <c r="CF4"/>
  <c r="CE4"/>
  <c r="BY4"/>
  <c r="BX4"/>
  <c r="BR4"/>
  <c r="BQ4"/>
  <c r="BK4"/>
  <c r="BJ4"/>
  <c r="BF4"/>
  <c r="BC4"/>
  <c r="BB4"/>
  <c r="AX4"/>
  <c r="AW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D4"/>
  <c r="C4"/>
  <c r="CT3"/>
  <c r="CT33" s="1"/>
  <c r="CS3"/>
  <c r="CS33" s="1"/>
  <c r="CM3"/>
  <c r="CM33" s="1"/>
  <c r="CL3"/>
  <c r="CL33" s="1"/>
  <c r="CL34" s="1"/>
  <c r="CE3"/>
  <c r="CE33" s="1"/>
  <c r="CE34" s="1"/>
  <c r="BY3"/>
  <c r="BY33" s="1"/>
  <c r="BX3"/>
  <c r="BR3"/>
  <c r="BR33" s="1"/>
  <c r="BQ3"/>
  <c r="BQ33" s="1"/>
  <c r="BQ34" s="1"/>
  <c r="BK3"/>
  <c r="BK33" s="1"/>
  <c r="G33" s="1"/>
  <c r="BJ3"/>
  <c r="BJ33" s="1"/>
  <c r="BI3"/>
  <c r="BC3"/>
  <c r="AZ3"/>
  <c r="AR3"/>
  <c r="AQ3"/>
  <c r="B2"/>
  <c r="B32" s="1"/>
  <c r="CT1"/>
  <c r="CS1"/>
  <c r="CQ1"/>
  <c r="CP1"/>
  <c r="CO1"/>
  <c r="CN1"/>
  <c r="CN190" s="1"/>
  <c r="CM1"/>
  <c r="CL1"/>
  <c r="CJ1"/>
  <c r="CJ50" s="1"/>
  <c r="CI1"/>
  <c r="CI50" s="1"/>
  <c r="CH1"/>
  <c r="CG1"/>
  <c r="CF1"/>
  <c r="CE1"/>
  <c r="BY1"/>
  <c r="BX1"/>
  <c r="BV1"/>
  <c r="BU1"/>
  <c r="BU33" s="1"/>
  <c r="BT1"/>
  <c r="BT33" s="1"/>
  <c r="BS1"/>
  <c r="BR1"/>
  <c r="BQ1"/>
  <c r="BO1"/>
  <c r="BN1"/>
  <c r="BM1"/>
  <c r="BL1"/>
  <c r="BL170" s="1"/>
  <c r="BK1"/>
  <c r="BJ1"/>
  <c r="BB1"/>
  <c r="BA1"/>
  <c r="AZ1"/>
  <c r="AZ33" s="1"/>
  <c r="AY1"/>
  <c r="AY33" s="1"/>
  <c r="AX1"/>
  <c r="AW1"/>
  <c r="AV1"/>
  <c r="AU1"/>
  <c r="AT1"/>
  <c r="AT50" s="1"/>
  <c r="AS1"/>
  <c r="AS190" s="1"/>
  <c r="AA1"/>
  <c r="E1"/>
  <c r="CK34" s="1"/>
  <c r="D1"/>
  <c r="C1"/>
  <c r="B1"/>
  <c r="B33" s="1"/>
  <c r="BQ200" i="55"/>
  <c r="BJ200"/>
  <c r="B200"/>
  <c r="CL200" s="1"/>
  <c r="CA198"/>
  <c r="BL198"/>
  <c r="AV198"/>
  <c r="BO198" s="1"/>
  <c r="AT198"/>
  <c r="BM198" s="1"/>
  <c r="AS198"/>
  <c r="CR191"/>
  <c r="CK191"/>
  <c r="CG191"/>
  <c r="CF191"/>
  <c r="CE191"/>
  <c r="CD191"/>
  <c r="BW191"/>
  <c r="BS191"/>
  <c r="BS10" s="1"/>
  <c r="BM191"/>
  <c r="CH191" s="1"/>
  <c r="BL191"/>
  <c r="BK191"/>
  <c r="BJ191"/>
  <c r="BJ10" s="1"/>
  <c r="BI191"/>
  <c r="BI10" s="1"/>
  <c r="BE191"/>
  <c r="BD191"/>
  <c r="BD10" s="1"/>
  <c r="BB191"/>
  <c r="BA191"/>
  <c r="AZ191"/>
  <c r="AY191"/>
  <c r="AY10" s="1"/>
  <c r="AX191"/>
  <c r="AW191"/>
  <c r="AV191"/>
  <c r="BO191" s="1"/>
  <c r="AU191"/>
  <c r="AT191"/>
  <c r="AS191"/>
  <c r="AP191"/>
  <c r="CK10" s="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S190"/>
  <c r="BR190"/>
  <c r="BQ190"/>
  <c r="BN190"/>
  <c r="BK190"/>
  <c r="BJ190"/>
  <c r="BB190"/>
  <c r="BA190"/>
  <c r="AZ190"/>
  <c r="AY190"/>
  <c r="AX190"/>
  <c r="AW190"/>
  <c r="G184"/>
  <c r="E183" s="1"/>
  <c r="E184"/>
  <c r="B184"/>
  <c r="AM183"/>
  <c r="AL183"/>
  <c r="AC183"/>
  <c r="G183"/>
  <c r="B183"/>
  <c r="BF191" s="1"/>
  <c r="BF10" s="1"/>
  <c r="AM182"/>
  <c r="AL182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180"/>
  <c r="BJ180" s="1"/>
  <c r="CA178"/>
  <c r="BL178"/>
  <c r="AV178"/>
  <c r="BO178" s="1"/>
  <c r="AT178"/>
  <c r="BM178" s="1"/>
  <c r="AS178"/>
  <c r="CR171"/>
  <c r="CK171"/>
  <c r="CG171"/>
  <c r="CN171" s="1"/>
  <c r="CN9" s="1"/>
  <c r="CF171"/>
  <c r="CE171"/>
  <c r="CD171"/>
  <c r="BW171"/>
  <c r="BS171"/>
  <c r="BM171"/>
  <c r="BL171"/>
  <c r="BK171"/>
  <c r="BJ171"/>
  <c r="BI171"/>
  <c r="BE171"/>
  <c r="BE9" s="1"/>
  <c r="BD171"/>
  <c r="BB171"/>
  <c r="BA171"/>
  <c r="AZ171"/>
  <c r="AY171"/>
  <c r="AX171"/>
  <c r="AW171"/>
  <c r="AV171"/>
  <c r="BO171" s="1"/>
  <c r="AU171"/>
  <c r="BN171" s="1"/>
  <c r="AT171"/>
  <c r="AS171"/>
  <c r="AP171"/>
  <c r="CY9" s="1"/>
  <c r="CX170"/>
  <c r="CW170"/>
  <c r="CV170"/>
  <c r="CU170"/>
  <c r="CT170"/>
  <c r="CS170"/>
  <c r="CP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G164"/>
  <c r="E163" s="1"/>
  <c r="E164"/>
  <c r="B164"/>
  <c r="AC163"/>
  <c r="G163"/>
  <c r="B163"/>
  <c r="BF171" s="1"/>
  <c r="AM162"/>
  <c r="AL162"/>
  <c r="AK162"/>
  <c r="AJ162"/>
  <c r="Z162"/>
  <c r="G162"/>
  <c r="E162"/>
  <c r="BP171" s="1"/>
  <c r="D162"/>
  <c r="C162"/>
  <c r="A162"/>
  <c r="AM161"/>
  <c r="AL161"/>
  <c r="AK161"/>
  <c r="AJ161"/>
  <c r="G161"/>
  <c r="B161"/>
  <c r="BJ160"/>
  <c r="B160"/>
  <c r="BQ160" s="1"/>
  <c r="CA158"/>
  <c r="BL158"/>
  <c r="AV158"/>
  <c r="BO158" s="1"/>
  <c r="AT158"/>
  <c r="BM158" s="1"/>
  <c r="AS158"/>
  <c r="CR151"/>
  <c r="CK151"/>
  <c r="CG151"/>
  <c r="CF151"/>
  <c r="CE151"/>
  <c r="CD151"/>
  <c r="BW151"/>
  <c r="BS151"/>
  <c r="BS8" s="1"/>
  <c r="BM151"/>
  <c r="CH151" s="1"/>
  <c r="BL151"/>
  <c r="BK151"/>
  <c r="BJ151"/>
  <c r="BJ8" s="1"/>
  <c r="BI151"/>
  <c r="BE151"/>
  <c r="BD151"/>
  <c r="BD8" s="1"/>
  <c r="BB151"/>
  <c r="BA151"/>
  <c r="AZ151"/>
  <c r="AY151"/>
  <c r="AY8" s="1"/>
  <c r="AX151"/>
  <c r="AW151"/>
  <c r="AV151"/>
  <c r="BO151" s="1"/>
  <c r="AU151"/>
  <c r="BN151" s="1"/>
  <c r="AT151"/>
  <c r="AS151"/>
  <c r="AP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V150"/>
  <c r="BS150"/>
  <c r="BR150"/>
  <c r="BQ150"/>
  <c r="BN150"/>
  <c r="BK150"/>
  <c r="BJ150"/>
  <c r="BB150"/>
  <c r="BA150"/>
  <c r="AZ150"/>
  <c r="AY150"/>
  <c r="AX150"/>
  <c r="AW150"/>
  <c r="G144"/>
  <c r="E143" s="1"/>
  <c r="AL143" s="1"/>
  <c r="E144"/>
  <c r="B144"/>
  <c r="AM143"/>
  <c r="AC143"/>
  <c r="G143"/>
  <c r="B143"/>
  <c r="BF151" s="1"/>
  <c r="AM142"/>
  <c r="AL142"/>
  <c r="AK142"/>
  <c r="AJ142"/>
  <c r="Z142"/>
  <c r="G142"/>
  <c r="E142"/>
  <c r="BP151" s="1"/>
  <c r="D142"/>
  <c r="C142"/>
  <c r="C9" s="1"/>
  <c r="A142"/>
  <c r="AM141"/>
  <c r="AL141"/>
  <c r="AK141"/>
  <c r="AJ141"/>
  <c r="G141"/>
  <c r="B141"/>
  <c r="BJ140"/>
  <c r="B140"/>
  <c r="BQ140" s="1"/>
  <c r="CA138"/>
  <c r="BL138"/>
  <c r="AV138"/>
  <c r="BO138" s="1"/>
  <c r="AT138"/>
  <c r="BM138" s="1"/>
  <c r="AS138"/>
  <c r="CR131"/>
  <c r="CK131"/>
  <c r="CG131"/>
  <c r="CN131" s="1"/>
  <c r="CF131"/>
  <c r="CE131"/>
  <c r="CD131"/>
  <c r="BW131"/>
  <c r="BS131"/>
  <c r="BM131"/>
  <c r="BL131"/>
  <c r="BK131"/>
  <c r="BJ131"/>
  <c r="BI131"/>
  <c r="BI7" s="1"/>
  <c r="BE131"/>
  <c r="BE7" s="1"/>
  <c r="BD131"/>
  <c r="BB131"/>
  <c r="BA131"/>
  <c r="AZ131"/>
  <c r="AZ7" s="1"/>
  <c r="AY131"/>
  <c r="AX131"/>
  <c r="AW131"/>
  <c r="AV131"/>
  <c r="BO131" s="1"/>
  <c r="AU131"/>
  <c r="BN131" s="1"/>
  <c r="AT131"/>
  <c r="AS131"/>
  <c r="AP131"/>
  <c r="CK7" s="1"/>
  <c r="CX130"/>
  <c r="CW130"/>
  <c r="CV130"/>
  <c r="CU130"/>
  <c r="CT130"/>
  <c r="CS130"/>
  <c r="CP130"/>
  <c r="CM130"/>
  <c r="CL130"/>
  <c r="CJ130"/>
  <c r="CG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G124"/>
  <c r="E123" s="1"/>
  <c r="E124"/>
  <c r="B124"/>
  <c r="AC123"/>
  <c r="G123"/>
  <c r="B123"/>
  <c r="BF131" s="1"/>
  <c r="AM122"/>
  <c r="AL122"/>
  <c r="AK122"/>
  <c r="AJ122"/>
  <c r="Z122"/>
  <c r="G122"/>
  <c r="E122"/>
  <c r="BP131" s="1"/>
  <c r="D122"/>
  <c r="C122"/>
  <c r="A122"/>
  <c r="AM121"/>
  <c r="AL121"/>
  <c r="AK121"/>
  <c r="AJ121"/>
  <c r="G121"/>
  <c r="B121"/>
  <c r="B120"/>
  <c r="BJ120" s="1"/>
  <c r="CA118"/>
  <c r="BL118"/>
  <c r="AV118"/>
  <c r="BO118" s="1"/>
  <c r="AT118"/>
  <c r="BM118" s="1"/>
  <c r="AS118"/>
  <c r="CR111"/>
  <c r="CN111"/>
  <c r="CK111"/>
  <c r="CG111"/>
  <c r="CG6" s="1"/>
  <c r="CF111"/>
  <c r="CE111"/>
  <c r="CD111"/>
  <c r="BW111"/>
  <c r="BS111"/>
  <c r="BS6" s="1"/>
  <c r="BM111"/>
  <c r="CH111" s="1"/>
  <c r="BL111"/>
  <c r="BK111"/>
  <c r="BJ111"/>
  <c r="BJ6" s="1"/>
  <c r="BI111"/>
  <c r="BE111"/>
  <c r="BD111"/>
  <c r="BD6" s="1"/>
  <c r="BB111"/>
  <c r="BA111"/>
  <c r="AZ111"/>
  <c r="AY111"/>
  <c r="AY6" s="1"/>
  <c r="AX111"/>
  <c r="AW111"/>
  <c r="AV111"/>
  <c r="BO111" s="1"/>
  <c r="AU111"/>
  <c r="BN111" s="1"/>
  <c r="AT111"/>
  <c r="AS111"/>
  <c r="AP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V110"/>
  <c r="BS110"/>
  <c r="BR110"/>
  <c r="BQ110"/>
  <c r="BN110"/>
  <c r="BK110"/>
  <c r="BJ110"/>
  <c r="BB110"/>
  <c r="BA110"/>
  <c r="AZ110"/>
  <c r="AY110"/>
  <c r="AX110"/>
  <c r="AW110"/>
  <c r="G104"/>
  <c r="E103" s="1"/>
  <c r="E104"/>
  <c r="B104"/>
  <c r="AL103"/>
  <c r="AC103"/>
  <c r="G103"/>
  <c r="B103"/>
  <c r="BF111" s="1"/>
  <c r="AM102"/>
  <c r="AL102"/>
  <c r="AK102"/>
  <c r="AJ102"/>
  <c r="Z102"/>
  <c r="G102"/>
  <c r="E102"/>
  <c r="BP111" s="1"/>
  <c r="D102"/>
  <c r="C102"/>
  <c r="C7" s="1"/>
  <c r="A102"/>
  <c r="AM101"/>
  <c r="AL101"/>
  <c r="AK101"/>
  <c r="AJ101"/>
  <c r="G101"/>
  <c r="B101"/>
  <c r="CS100"/>
  <c r="BJ100"/>
  <c r="B100"/>
  <c r="CA98"/>
  <c r="BL98"/>
  <c r="AV98"/>
  <c r="BO98" s="1"/>
  <c r="AT98"/>
  <c r="BM98" s="1"/>
  <c r="AS98"/>
  <c r="CR91"/>
  <c r="CK91"/>
  <c r="CG91"/>
  <c r="CN91" s="1"/>
  <c r="CN5" s="1"/>
  <c r="CF91"/>
  <c r="CE91"/>
  <c r="CD91"/>
  <c r="BW91"/>
  <c r="BT91"/>
  <c r="BT5" s="1"/>
  <c r="BS91"/>
  <c r="BM91"/>
  <c r="BL91"/>
  <c r="BK91"/>
  <c r="BJ91"/>
  <c r="BI91"/>
  <c r="BI5" s="1"/>
  <c r="BE91"/>
  <c r="BE5" s="1"/>
  <c r="BD91"/>
  <c r="BB91"/>
  <c r="BA91"/>
  <c r="AZ91"/>
  <c r="AZ5" s="1"/>
  <c r="AY91"/>
  <c r="AX91"/>
  <c r="AW91"/>
  <c r="AV91"/>
  <c r="AU91"/>
  <c r="BN91" s="1"/>
  <c r="AT91"/>
  <c r="AS91"/>
  <c r="AP91"/>
  <c r="CX90"/>
  <c r="CW90"/>
  <c r="CV90"/>
  <c r="CU90"/>
  <c r="CT90"/>
  <c r="CS90"/>
  <c r="CP90"/>
  <c r="CO90"/>
  <c r="CM90"/>
  <c r="CL90"/>
  <c r="CG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G84"/>
  <c r="E83" s="1"/>
  <c r="E84"/>
  <c r="B84"/>
  <c r="AC83"/>
  <c r="G83"/>
  <c r="B83"/>
  <c r="BF91" s="1"/>
  <c r="AM82"/>
  <c r="AL82"/>
  <c r="AK82"/>
  <c r="AJ82"/>
  <c r="Z82"/>
  <c r="G82"/>
  <c r="E82"/>
  <c r="BP91" s="1"/>
  <c r="D82"/>
  <c r="C82"/>
  <c r="A82"/>
  <c r="AM81"/>
  <c r="AL81"/>
  <c r="AK81"/>
  <c r="AJ81"/>
  <c r="G81"/>
  <c r="B81"/>
  <c r="CL80"/>
  <c r="BQ80"/>
  <c r="B80"/>
  <c r="BJ80" s="1"/>
  <c r="BL78"/>
  <c r="CA78" s="1"/>
  <c r="AV78"/>
  <c r="BO78" s="1"/>
  <c r="AT78"/>
  <c r="BM78" s="1"/>
  <c r="AS78"/>
  <c r="CF71"/>
  <c r="CE71"/>
  <c r="BK71"/>
  <c r="BJ71"/>
  <c r="BI71"/>
  <c r="BI4" s="1"/>
  <c r="BD71"/>
  <c r="BD4" s="1"/>
  <c r="BB71"/>
  <c r="BA71"/>
  <c r="AZ71"/>
  <c r="AZ4" s="1"/>
  <c r="AY71"/>
  <c r="AX71"/>
  <c r="AX4" s="1"/>
  <c r="AW71"/>
  <c r="CX70"/>
  <c r="CW70"/>
  <c r="CV70"/>
  <c r="CU70"/>
  <c r="CT70"/>
  <c r="CS70"/>
  <c r="CO70"/>
  <c r="CM70"/>
  <c r="CL70"/>
  <c r="CF70"/>
  <c r="CE70"/>
  <c r="CC70"/>
  <c r="CB70"/>
  <c r="CA70"/>
  <c r="BZ70"/>
  <c r="BY70"/>
  <c r="BX70"/>
  <c r="BV70"/>
  <c r="BR70"/>
  <c r="BQ70"/>
  <c r="BN70"/>
  <c r="BK70"/>
  <c r="BJ70"/>
  <c r="BB70"/>
  <c r="BA70"/>
  <c r="AZ70"/>
  <c r="AY70"/>
  <c r="AX70"/>
  <c r="AW70"/>
  <c r="AT70"/>
  <c r="G64"/>
  <c r="E63" s="1"/>
  <c r="E64"/>
  <c r="B64"/>
  <c r="AC63"/>
  <c r="G63"/>
  <c r="B63"/>
  <c r="BF71" s="1"/>
  <c r="BF4" s="1"/>
  <c r="G62"/>
  <c r="E62"/>
  <c r="CR71" s="1"/>
  <c r="D62"/>
  <c r="BE71" s="1"/>
  <c r="BE4" s="1"/>
  <c r="C62"/>
  <c r="C5" s="1"/>
  <c r="AM61"/>
  <c r="AL61"/>
  <c r="AK61"/>
  <c r="AJ61"/>
  <c r="G61"/>
  <c r="F5" s="1"/>
  <c r="B61"/>
  <c r="B5" s="1"/>
  <c r="B60"/>
  <c r="CS60" s="1"/>
  <c r="BO58"/>
  <c r="AV58"/>
  <c r="AT58"/>
  <c r="BM58" s="1"/>
  <c r="AS58"/>
  <c r="BL58" s="1"/>
  <c r="CA58" s="1"/>
  <c r="CF51"/>
  <c r="CE51"/>
  <c r="BK51"/>
  <c r="BJ51"/>
  <c r="BI51"/>
  <c r="BI3" s="1"/>
  <c r="BD51"/>
  <c r="BD3" s="1"/>
  <c r="BB51"/>
  <c r="BA51"/>
  <c r="BA3" s="1"/>
  <c r="AZ51"/>
  <c r="AZ3" s="1"/>
  <c r="AY51"/>
  <c r="AY3" s="1"/>
  <c r="AX51"/>
  <c r="AX3" s="1"/>
  <c r="AW51"/>
  <c r="AW3" s="1"/>
  <c r="CX50"/>
  <c r="CW50"/>
  <c r="CV50"/>
  <c r="CU50"/>
  <c r="CT50"/>
  <c r="CS50"/>
  <c r="CO50"/>
  <c r="CN50"/>
  <c r="CM50"/>
  <c r="CL50"/>
  <c r="CJ50"/>
  <c r="CI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T50"/>
  <c r="AS50"/>
  <c r="G44"/>
  <c r="E44"/>
  <c r="B44"/>
  <c r="AC43"/>
  <c r="G43"/>
  <c r="B43"/>
  <c r="BF51" s="1"/>
  <c r="BF3" s="1"/>
  <c r="AJ42"/>
  <c r="G42"/>
  <c r="E42"/>
  <c r="CK51" s="1"/>
  <c r="D42"/>
  <c r="BE51" s="1"/>
  <c r="BE3" s="1"/>
  <c r="C42"/>
  <c r="C4" s="1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L34"/>
  <c r="CF34"/>
  <c r="BY34"/>
  <c r="BR34"/>
  <c r="AI18" s="1"/>
  <c r="BK34"/>
  <c r="BG34"/>
  <c r="AX34"/>
  <c r="D34"/>
  <c r="CX33"/>
  <c r="CW33"/>
  <c r="CV33"/>
  <c r="CU33"/>
  <c r="CT33"/>
  <c r="CS33"/>
  <c r="CS34" s="1"/>
  <c r="CJ33"/>
  <c r="CH33"/>
  <c r="CC33"/>
  <c r="CB33"/>
  <c r="CA33"/>
  <c r="BZ33"/>
  <c r="BN33"/>
  <c r="BI33"/>
  <c r="BH33"/>
  <c r="BB33"/>
  <c r="BA33"/>
  <c r="AS33"/>
  <c r="K33"/>
  <c r="J33"/>
  <c r="I33"/>
  <c r="H33"/>
  <c r="E33"/>
  <c r="AM17"/>
  <c r="AL17"/>
  <c r="AK17"/>
  <c r="AJ17"/>
  <c r="F11"/>
  <c r="E11"/>
  <c r="D11"/>
  <c r="B11"/>
  <c r="CY10"/>
  <c r="CT10"/>
  <c r="CS10"/>
  <c r="CR10"/>
  <c r="CM10"/>
  <c r="CL10"/>
  <c r="CF10"/>
  <c r="CE10"/>
  <c r="CD10"/>
  <c r="BY10"/>
  <c r="BX10"/>
  <c r="BW10"/>
  <c r="BR10"/>
  <c r="BQ10"/>
  <c r="BP10"/>
  <c r="BO10"/>
  <c r="BL10"/>
  <c r="BK10"/>
  <c r="BG10"/>
  <c r="BE10"/>
  <c r="BC10"/>
  <c r="BB10"/>
  <c r="BA10"/>
  <c r="AZ10"/>
  <c r="AX10"/>
  <c r="AW10"/>
  <c r="AV10"/>
  <c r="AT10"/>
  <c r="AS10"/>
  <c r="AR10"/>
  <c r="AQ10"/>
  <c r="AP10"/>
  <c r="F10"/>
  <c r="E10"/>
  <c r="D10"/>
  <c r="C10"/>
  <c r="B10"/>
  <c r="CT9"/>
  <c r="CS9"/>
  <c r="CR9"/>
  <c r="CM9"/>
  <c r="CL9"/>
  <c r="CK9"/>
  <c r="CG9"/>
  <c r="CF9"/>
  <c r="CE9"/>
  <c r="BY9"/>
  <c r="BX9"/>
  <c r="BS9"/>
  <c r="BR9"/>
  <c r="BQ9"/>
  <c r="BP9"/>
  <c r="BM9"/>
  <c r="BL9"/>
  <c r="BK9"/>
  <c r="BJ9"/>
  <c r="BI9"/>
  <c r="BG9"/>
  <c r="BF9"/>
  <c r="BD9"/>
  <c r="BC9"/>
  <c r="BB9"/>
  <c r="BA9"/>
  <c r="AZ9"/>
  <c r="AY9"/>
  <c r="AX9"/>
  <c r="AW9"/>
  <c r="AV9"/>
  <c r="AU9"/>
  <c r="AT9"/>
  <c r="AS9"/>
  <c r="AR9"/>
  <c r="AQ9"/>
  <c r="F9"/>
  <c r="E9"/>
  <c r="D9"/>
  <c r="B9"/>
  <c r="CY8"/>
  <c r="CT8"/>
  <c r="CS8"/>
  <c r="CR8"/>
  <c r="CM8"/>
  <c r="CL8"/>
  <c r="CK8"/>
  <c r="CF8"/>
  <c r="CE8"/>
  <c r="CD8"/>
  <c r="BY8"/>
  <c r="BX8"/>
  <c r="BW8"/>
  <c r="BR8"/>
  <c r="BQ8"/>
  <c r="BP8"/>
  <c r="BO8"/>
  <c r="BM8"/>
  <c r="BL8"/>
  <c r="BK8"/>
  <c r="BI8"/>
  <c r="BG8"/>
  <c r="BF8"/>
  <c r="BE8"/>
  <c r="BC8"/>
  <c r="BB8"/>
  <c r="BA8"/>
  <c r="AZ8"/>
  <c r="AX8"/>
  <c r="AW8"/>
  <c r="AV8"/>
  <c r="AT8"/>
  <c r="AS8"/>
  <c r="AR8"/>
  <c r="AQ8"/>
  <c r="AP8"/>
  <c r="F8"/>
  <c r="E8"/>
  <c r="D8"/>
  <c r="C8"/>
  <c r="B8"/>
  <c r="CY7"/>
  <c r="CT7"/>
  <c r="CS7"/>
  <c r="CR7"/>
  <c r="CN7"/>
  <c r="CM7"/>
  <c r="CL7"/>
  <c r="CG7"/>
  <c r="CF7"/>
  <c r="CE7"/>
  <c r="BY7"/>
  <c r="BX7"/>
  <c r="BW7"/>
  <c r="BS7"/>
  <c r="BR7"/>
  <c r="BQ7"/>
  <c r="BP7"/>
  <c r="BO7"/>
  <c r="BL7"/>
  <c r="BK7"/>
  <c r="BJ7"/>
  <c r="BG7"/>
  <c r="BF7"/>
  <c r="BD7"/>
  <c r="BC7"/>
  <c r="BB7"/>
  <c r="BA7"/>
  <c r="AY7"/>
  <c r="AX7"/>
  <c r="AW7"/>
  <c r="AU7"/>
  <c r="AT7"/>
  <c r="AS7"/>
  <c r="AR7"/>
  <c r="AQ7"/>
  <c r="AP7"/>
  <c r="F7"/>
  <c r="E7"/>
  <c r="D7"/>
  <c r="B7"/>
  <c r="CY6"/>
  <c r="CT6"/>
  <c r="CS6"/>
  <c r="CR6"/>
  <c r="CN6"/>
  <c r="CM6"/>
  <c r="CL6"/>
  <c r="CK6"/>
  <c r="CF6"/>
  <c r="CE6"/>
  <c r="CD6"/>
  <c r="BY6"/>
  <c r="BX6"/>
  <c r="BW6"/>
  <c r="BR6"/>
  <c r="BQ6"/>
  <c r="BP6"/>
  <c r="BO6"/>
  <c r="BM6"/>
  <c r="BL6"/>
  <c r="BK6"/>
  <c r="BI6"/>
  <c r="BG6"/>
  <c r="BF6"/>
  <c r="BE6"/>
  <c r="BC6"/>
  <c r="BB6"/>
  <c r="BA6"/>
  <c r="AZ6"/>
  <c r="AX6"/>
  <c r="AW6"/>
  <c r="AV6"/>
  <c r="AT6"/>
  <c r="AS6"/>
  <c r="AR6"/>
  <c r="AQ6"/>
  <c r="AP6"/>
  <c r="F6"/>
  <c r="E6"/>
  <c r="D6"/>
  <c r="C6"/>
  <c r="B6"/>
  <c r="CT5"/>
  <c r="CS5"/>
  <c r="CM5"/>
  <c r="CL5"/>
  <c r="CG5"/>
  <c r="CF5"/>
  <c r="CE5"/>
  <c r="BY5"/>
  <c r="BX5"/>
  <c r="BS5"/>
  <c r="BR5"/>
  <c r="BQ5"/>
  <c r="BL5"/>
  <c r="BK5"/>
  <c r="BJ5"/>
  <c r="BF5"/>
  <c r="BD5"/>
  <c r="BC5"/>
  <c r="BB5"/>
  <c r="BA5"/>
  <c r="AY5"/>
  <c r="AX5"/>
  <c r="AW5"/>
  <c r="AU5"/>
  <c r="AT5"/>
  <c r="AS5"/>
  <c r="AR5"/>
  <c r="AQ5"/>
  <c r="CT4"/>
  <c r="CS4"/>
  <c r="CM4"/>
  <c r="CL4"/>
  <c r="CF4"/>
  <c r="CE4"/>
  <c r="BY4"/>
  <c r="BX4"/>
  <c r="BR4"/>
  <c r="BQ4"/>
  <c r="BK4"/>
  <c r="BJ4"/>
  <c r="BC4"/>
  <c r="BB4"/>
  <c r="BA4"/>
  <c r="AY4"/>
  <c r="AW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T3"/>
  <c r="CS3"/>
  <c r="CM3"/>
  <c r="CM33" s="1"/>
  <c r="CL3"/>
  <c r="CL33" s="1"/>
  <c r="CF3"/>
  <c r="CF33" s="1"/>
  <c r="CE3"/>
  <c r="CE33" s="1"/>
  <c r="CE34" s="1"/>
  <c r="BY3"/>
  <c r="BY33" s="1"/>
  <c r="BX3"/>
  <c r="BX33" s="1"/>
  <c r="BX34" s="1"/>
  <c r="BR3"/>
  <c r="BR33" s="1"/>
  <c r="AI17" s="1"/>
  <c r="BQ3"/>
  <c r="BQ33" s="1"/>
  <c r="BQ34" s="1"/>
  <c r="BK3"/>
  <c r="BK33" s="1"/>
  <c r="G33" s="1"/>
  <c r="BJ3"/>
  <c r="BJ33" s="1"/>
  <c r="BC3"/>
  <c r="BB3"/>
  <c r="AR3"/>
  <c r="AQ3"/>
  <c r="B2"/>
  <c r="B32" s="1"/>
  <c r="CT1"/>
  <c r="CS1"/>
  <c r="CQ1"/>
  <c r="CP1"/>
  <c r="CP50" s="1"/>
  <c r="CO1"/>
  <c r="CN1"/>
  <c r="CM1"/>
  <c r="CL1"/>
  <c r="CJ1"/>
  <c r="CI1"/>
  <c r="CH1"/>
  <c r="CG1"/>
  <c r="CF1"/>
  <c r="CE1"/>
  <c r="BY1"/>
  <c r="BX1"/>
  <c r="BV1"/>
  <c r="BV170" s="1"/>
  <c r="BU1"/>
  <c r="BT1"/>
  <c r="BS1"/>
  <c r="BS170" s="1"/>
  <c r="BR1"/>
  <c r="BQ1"/>
  <c r="BO1"/>
  <c r="BN1"/>
  <c r="BN50" s="1"/>
  <c r="BM1"/>
  <c r="BL1"/>
  <c r="BK1"/>
  <c r="BJ1"/>
  <c r="BB1"/>
  <c r="BA1"/>
  <c r="AZ1"/>
  <c r="AZ33" s="1"/>
  <c r="AY1"/>
  <c r="AY33" s="1"/>
  <c r="AX1"/>
  <c r="AW1"/>
  <c r="AV1"/>
  <c r="AU1"/>
  <c r="AT1"/>
  <c r="AS1"/>
  <c r="AA1"/>
  <c r="E1"/>
  <c r="CD33" s="1"/>
  <c r="D1"/>
  <c r="C1"/>
  <c r="B1"/>
  <c r="B33" s="1"/>
  <c r="CX191" i="40"/>
  <c r="CW191"/>
  <c r="CV191"/>
  <c r="CU191"/>
  <c r="CX171"/>
  <c r="CW171"/>
  <c r="CV171"/>
  <c r="CU171"/>
  <c r="CX151"/>
  <c r="CW151"/>
  <c r="CV151"/>
  <c r="CU151"/>
  <c r="CX131"/>
  <c r="CW131"/>
  <c r="CV131"/>
  <c r="CU131"/>
  <c r="CX111"/>
  <c r="CW111"/>
  <c r="CV111"/>
  <c r="CU111"/>
  <c r="CX91"/>
  <c r="CW91"/>
  <c r="CV91"/>
  <c r="CU91"/>
  <c r="CC191"/>
  <c r="CB191"/>
  <c r="CA191"/>
  <c r="BZ191"/>
  <c r="CC171"/>
  <c r="CB171"/>
  <c r="CA171"/>
  <c r="BZ171"/>
  <c r="CC151"/>
  <c r="CB151"/>
  <c r="CA151"/>
  <c r="BZ151"/>
  <c r="CC131"/>
  <c r="CB131"/>
  <c r="CA131"/>
  <c r="BZ131"/>
  <c r="CC111"/>
  <c r="CB111"/>
  <c r="CA111"/>
  <c r="BZ111"/>
  <c r="CC91"/>
  <c r="CB91"/>
  <c r="CA91"/>
  <c r="BZ91"/>
  <c r="AM182"/>
  <c r="AL182"/>
  <c r="AK182"/>
  <c r="AJ182"/>
  <c r="AM162"/>
  <c r="AL162"/>
  <c r="AK162"/>
  <c r="AJ162"/>
  <c r="AM142"/>
  <c r="AL142"/>
  <c r="AK142"/>
  <c r="AJ142"/>
  <c r="AM122"/>
  <c r="AL122"/>
  <c r="AK122"/>
  <c r="AJ122"/>
  <c r="AM102"/>
  <c r="AL102"/>
  <c r="AK102"/>
  <c r="AJ102"/>
  <c r="AK82"/>
  <c r="AL82"/>
  <c r="AM82"/>
  <c r="AJ82"/>
  <c r="AK62"/>
  <c r="AJ62"/>
  <c r="AK42"/>
  <c r="AJ42"/>
  <c r="AJ12" i="49"/>
  <c r="AK12"/>
  <c r="AL12"/>
  <c r="BX140" i="56" l="1"/>
  <c r="BX180"/>
  <c r="AH60"/>
  <c r="AH80"/>
  <c r="CE80"/>
  <c r="AQ100"/>
  <c r="CL100"/>
  <c r="AH120"/>
  <c r="CE120"/>
  <c r="AQ140"/>
  <c r="CL140"/>
  <c r="AH160"/>
  <c r="CE160"/>
  <c r="AQ180"/>
  <c r="CL180"/>
  <c r="AH200"/>
  <c r="CE200"/>
  <c r="BX100"/>
  <c r="BJ100"/>
  <c r="BJ140"/>
  <c r="BJ180"/>
  <c r="CE60"/>
  <c r="BX80"/>
  <c r="AH100"/>
  <c r="CE100"/>
  <c r="BX120"/>
  <c r="AH140"/>
  <c r="CE140"/>
  <c r="BX160"/>
  <c r="AH180"/>
  <c r="CE180"/>
  <c r="BX200"/>
  <c r="CL60" i="57"/>
  <c r="AQ60"/>
  <c r="BQ100"/>
  <c r="BQ180"/>
  <c r="CE60"/>
  <c r="BJ60"/>
  <c r="CL100" i="58"/>
  <c r="CE100"/>
  <c r="CE140"/>
  <c r="AH60"/>
  <c r="CE60"/>
  <c r="CL80"/>
  <c r="BJ100"/>
  <c r="CL120"/>
  <c r="BJ140"/>
  <c r="CL160"/>
  <c r="BX180"/>
  <c r="AH200"/>
  <c r="CE200"/>
  <c r="CL140"/>
  <c r="BX60"/>
  <c r="CE80"/>
  <c r="AQ100"/>
  <c r="CE120"/>
  <c r="AQ140"/>
  <c r="CE160"/>
  <c r="BX200"/>
  <c r="CE60" i="59"/>
  <c r="BX140"/>
  <c r="BX180"/>
  <c r="BX60"/>
  <c r="BX100"/>
  <c r="BX120"/>
  <c r="BJ140"/>
  <c r="AQ60"/>
  <c r="BX80"/>
  <c r="BJ100"/>
  <c r="BJ120"/>
  <c r="AQ140"/>
  <c r="CL140"/>
  <c r="BJ160"/>
  <c r="AQ180"/>
  <c r="CL180"/>
  <c r="BJ200"/>
  <c r="BX160"/>
  <c r="BJ180"/>
  <c r="BX200"/>
  <c r="AH60"/>
  <c r="BJ80"/>
  <c r="AQ100"/>
  <c r="CL100"/>
  <c r="AQ120"/>
  <c r="CL120"/>
  <c r="AH140"/>
  <c r="CE140"/>
  <c r="AQ160"/>
  <c r="CL160"/>
  <c r="AH180"/>
  <c r="CE180"/>
  <c r="AQ200"/>
  <c r="CL200"/>
  <c r="CR51" i="56"/>
  <c r="CD1"/>
  <c r="D5" i="55"/>
  <c r="D4"/>
  <c r="AT51"/>
  <c r="E43"/>
  <c r="BG51"/>
  <c r="BP51"/>
  <c r="E43" i="57"/>
  <c r="AJ43" s="1"/>
  <c r="Z1"/>
  <c r="E63" i="56"/>
  <c r="AL63" s="1"/>
  <c r="BF3"/>
  <c r="BG1"/>
  <c r="E4"/>
  <c r="Z42"/>
  <c r="AV51"/>
  <c r="AV3" s="1"/>
  <c r="AY35" i="55" a="1"/>
  <c r="AY35" s="1"/>
  <c r="E4"/>
  <c r="E12" i="45" s="1"/>
  <c r="BJ60" i="55"/>
  <c r="AQ60"/>
  <c r="CL60"/>
  <c r="BQ120"/>
  <c r="CL160"/>
  <c r="BX60"/>
  <c r="CL120"/>
  <c r="AH60"/>
  <c r="CE60"/>
  <c r="CR4" i="60"/>
  <c r="AY36"/>
  <c r="BA36"/>
  <c r="CK4"/>
  <c r="AP4"/>
  <c r="BW4"/>
  <c r="BO3" i="62"/>
  <c r="BO34" s="1" a="1"/>
  <c r="BO34" s="1"/>
  <c r="AR49"/>
  <c r="CH51" s="1"/>
  <c r="CH3" s="1"/>
  <c r="BL51" i="57"/>
  <c r="AS3"/>
  <c r="AS39" s="1" a="1"/>
  <c r="AS39" s="1"/>
  <c r="AT51"/>
  <c r="CR1"/>
  <c r="AV51"/>
  <c r="BP1"/>
  <c r="CK33"/>
  <c r="BM71" i="56"/>
  <c r="AT4"/>
  <c r="AV71"/>
  <c r="BG71"/>
  <c r="D5"/>
  <c r="AS71"/>
  <c r="AZ39" a="1"/>
  <c r="AZ39" s="1"/>
  <c r="AU71"/>
  <c r="E5"/>
  <c r="BP71"/>
  <c r="AS3"/>
  <c r="CR1"/>
  <c r="C33"/>
  <c r="AU51"/>
  <c r="AP1"/>
  <c r="BW33"/>
  <c r="CY33"/>
  <c r="CR34"/>
  <c r="AT51"/>
  <c r="BP51"/>
  <c r="AP33"/>
  <c r="CR33"/>
  <c r="BW34"/>
  <c r="Z1"/>
  <c r="BP1"/>
  <c r="CK1"/>
  <c r="BG33"/>
  <c r="BP33"/>
  <c r="AP34"/>
  <c r="AP51"/>
  <c r="BG51"/>
  <c r="CD51"/>
  <c r="BN3" i="58"/>
  <c r="BN35" s="1" a="1"/>
  <c r="BN35" s="1"/>
  <c r="J35" s="1"/>
  <c r="CI3"/>
  <c r="AL63" i="55"/>
  <c r="CK34"/>
  <c r="AU51"/>
  <c r="AU3" s="1"/>
  <c r="BW34"/>
  <c r="BF33"/>
  <c r="BF34" s="1"/>
  <c r="BP33"/>
  <c r="Z1"/>
  <c r="BG1"/>
  <c r="AZ36" i="60"/>
  <c r="CY4"/>
  <c r="BP4"/>
  <c r="BG4"/>
  <c r="AS34" i="62" a="1"/>
  <c r="AS34" s="1"/>
  <c r="AS36" s="1"/>
  <c r="AS37"/>
  <c r="BF3" i="59"/>
  <c r="AZ39" a="1"/>
  <c r="AZ39" s="1"/>
  <c r="AP51"/>
  <c r="BI37"/>
  <c r="CD51"/>
  <c r="BP71"/>
  <c r="BI39"/>
  <c r="E39" s="1"/>
  <c r="CW51" i="66"/>
  <c r="CW3" s="1"/>
  <c r="CV51"/>
  <c r="CV3" s="1"/>
  <c r="CO51"/>
  <c r="CO3" s="1"/>
  <c r="CH3"/>
  <c r="CQ51"/>
  <c r="CQ3" s="1"/>
  <c r="CJ3"/>
  <c r="BL4"/>
  <c r="BL39" s="1" a="1"/>
  <c r="BL39" s="1"/>
  <c r="H39" s="1"/>
  <c r="CG71"/>
  <c r="AR69"/>
  <c r="CH71" s="1"/>
  <c r="BO4"/>
  <c r="BO37" s="1"/>
  <c r="K37" s="1"/>
  <c r="CJ71"/>
  <c r="BV51"/>
  <c r="BV3" s="1"/>
  <c r="BS51"/>
  <c r="BS3" s="1"/>
  <c r="CA39" a="1"/>
  <c r="CA39" s="1"/>
  <c r="CA35" a="1"/>
  <c r="CA35" s="1"/>
  <c r="CA38"/>
  <c r="CA37"/>
  <c r="CA34" a="1"/>
  <c r="CA34" s="1"/>
  <c r="CI71"/>
  <c r="BZ71"/>
  <c r="BZ4" s="1"/>
  <c r="BZ34" s="1" a="1"/>
  <c r="BZ34" s="1"/>
  <c r="AQ69"/>
  <c r="BT71" s="1"/>
  <c r="BT4" s="1"/>
  <c r="BT37" s="1"/>
  <c r="CC71"/>
  <c r="CC4" s="1"/>
  <c r="CC35" s="1" a="1"/>
  <c r="CC35" s="1"/>
  <c r="BN4"/>
  <c r="BN37" s="1"/>
  <c r="J37" s="1"/>
  <c r="CX51"/>
  <c r="CX3" s="1"/>
  <c r="CU51"/>
  <c r="CU3" s="1"/>
  <c r="CI3"/>
  <c r="CP51"/>
  <c r="CP3" s="1"/>
  <c r="AU37"/>
  <c r="AU35" a="1"/>
  <c r="AU35" s="1"/>
  <c r="AU39" a="1"/>
  <c r="AU39" s="1"/>
  <c r="AU34" a="1"/>
  <c r="AU34" s="1"/>
  <c r="AU38"/>
  <c r="CN51"/>
  <c r="CN3" s="1"/>
  <c r="CG3"/>
  <c r="BN39" a="1"/>
  <c r="BN39" s="1"/>
  <c r="J39" s="1"/>
  <c r="BM35" a="1"/>
  <c r="BM35" s="1"/>
  <c r="I35" s="1"/>
  <c r="BM34" a="1"/>
  <c r="BM34" s="1"/>
  <c r="BM39" a="1"/>
  <c r="BM39" s="1"/>
  <c r="I39" s="1"/>
  <c r="BM38"/>
  <c r="I38" s="1"/>
  <c r="BM37"/>
  <c r="I37" s="1"/>
  <c r="AS34" a="1"/>
  <c r="AS34" s="1"/>
  <c r="AS38"/>
  <c r="AS37"/>
  <c r="AS35" a="1"/>
  <c r="AS35" s="1"/>
  <c r="AS39" a="1"/>
  <c r="AS39" s="1"/>
  <c r="AV35" a="1"/>
  <c r="AV35" s="1"/>
  <c r="AV39" a="1"/>
  <c r="AV39" s="1"/>
  <c r="AV37"/>
  <c r="AV38"/>
  <c r="AV34" a="1"/>
  <c r="AV34" s="1"/>
  <c r="BL38"/>
  <c r="H38" s="1"/>
  <c r="CB71"/>
  <c r="CB4" s="1"/>
  <c r="CB37" s="1"/>
  <c r="CP71" i="65"/>
  <c r="CP4" s="1"/>
  <c r="CI4"/>
  <c r="AU38"/>
  <c r="AU34" a="1"/>
  <c r="AU34" s="1"/>
  <c r="AU39" a="1"/>
  <c r="AU39" s="1"/>
  <c r="AU35" a="1"/>
  <c r="AU35" s="1"/>
  <c r="AU37"/>
  <c r="AR49"/>
  <c r="CH51" s="1"/>
  <c r="BO3"/>
  <c r="CA71"/>
  <c r="CA4" s="1"/>
  <c r="CB71"/>
  <c r="CB4" s="1"/>
  <c r="CH71"/>
  <c r="BT71"/>
  <c r="BT4" s="1"/>
  <c r="BM4"/>
  <c r="BM37" s="1"/>
  <c r="I37" s="1"/>
  <c r="BL3"/>
  <c r="AV39" a="1"/>
  <c r="AV39" s="1"/>
  <c r="AV35" a="1"/>
  <c r="AV35" s="1"/>
  <c r="AV37"/>
  <c r="AV34" a="1"/>
  <c r="AV34" s="1"/>
  <c r="AV38"/>
  <c r="AT38"/>
  <c r="AT34" a="1"/>
  <c r="AT34" s="1"/>
  <c r="AT37"/>
  <c r="AT39" a="1"/>
  <c r="AT39" s="1"/>
  <c r="AT35" a="1"/>
  <c r="AT35" s="1"/>
  <c r="AS37"/>
  <c r="AS34" a="1"/>
  <c r="AS34" s="1"/>
  <c r="AS38"/>
  <c r="AS39" a="1"/>
  <c r="AS39" s="1"/>
  <c r="AS35" a="1"/>
  <c r="AS35" s="1"/>
  <c r="CG71"/>
  <c r="BS71"/>
  <c r="BS4" s="1"/>
  <c r="BL4"/>
  <c r="CJ71"/>
  <c r="CX71" s="1"/>
  <c r="CX4" s="1"/>
  <c r="CA51"/>
  <c r="CA3" s="1"/>
  <c r="BM35" a="1"/>
  <c r="BM35" s="1"/>
  <c r="I35" s="1"/>
  <c r="BM39" a="1"/>
  <c r="BM39" s="1"/>
  <c r="I39" s="1"/>
  <c r="BZ51"/>
  <c r="BZ3" s="1"/>
  <c r="AQ49"/>
  <c r="BT51" s="1"/>
  <c r="BT3" s="1"/>
  <c r="CC51"/>
  <c r="CC3" s="1"/>
  <c r="BN3"/>
  <c r="BV71"/>
  <c r="BV4" s="1"/>
  <c r="CB51"/>
  <c r="CB3" s="1"/>
  <c r="CQ51" i="64"/>
  <c r="CQ3" s="1"/>
  <c r="CJ3"/>
  <c r="CO91"/>
  <c r="CO5" s="1"/>
  <c r="CV91"/>
  <c r="CV5" s="1"/>
  <c r="CW91"/>
  <c r="CW5" s="1"/>
  <c r="CH5"/>
  <c r="CU171"/>
  <c r="CU9" s="1"/>
  <c r="CX171"/>
  <c r="CX9" s="1"/>
  <c r="CP171"/>
  <c r="CP9" s="1"/>
  <c r="CI9"/>
  <c r="CU91"/>
  <c r="CU5" s="1"/>
  <c r="CX91"/>
  <c r="CX5" s="1"/>
  <c r="CI5"/>
  <c r="CP91"/>
  <c r="CP5" s="1"/>
  <c r="AV39" a="1"/>
  <c r="AV39" s="1"/>
  <c r="AV38"/>
  <c r="AV37"/>
  <c r="AV34" a="1"/>
  <c r="AV34" s="1"/>
  <c r="AV35" a="1"/>
  <c r="AV35" s="1"/>
  <c r="BS71"/>
  <c r="BS4" s="1"/>
  <c r="BS39" s="1" a="1"/>
  <c r="BS39" s="1"/>
  <c r="BL4"/>
  <c r="BL37" s="1"/>
  <c r="H37" s="1"/>
  <c r="AT38"/>
  <c r="AT39" a="1"/>
  <c r="AT39" s="1"/>
  <c r="AT37"/>
  <c r="AT35" a="1"/>
  <c r="AT35" s="1"/>
  <c r="AT34" a="1"/>
  <c r="AT34" s="1"/>
  <c r="BL39" a="1"/>
  <c r="BL39" s="1"/>
  <c r="H39" s="1"/>
  <c r="BL38"/>
  <c r="H38" s="1"/>
  <c r="BL34" a="1"/>
  <c r="BL34" s="1"/>
  <c r="AR69"/>
  <c r="CG71" s="1"/>
  <c r="BO4"/>
  <c r="BO38" s="1"/>
  <c r="K38" s="1"/>
  <c r="CG51"/>
  <c r="CI51"/>
  <c r="BU71"/>
  <c r="BU4" s="1"/>
  <c r="BU37" s="1"/>
  <c r="BZ71"/>
  <c r="BZ4" s="1"/>
  <c r="BZ34" s="1" a="1"/>
  <c r="BZ34" s="1"/>
  <c r="AQ69"/>
  <c r="BV71" s="1"/>
  <c r="BV4" s="1"/>
  <c r="BN4"/>
  <c r="BN39" s="1" a="1"/>
  <c r="BN39" s="1"/>
  <c r="J39" s="1"/>
  <c r="CC71"/>
  <c r="CC4" s="1"/>
  <c r="CC37" s="1"/>
  <c r="CO131"/>
  <c r="CO7" s="1"/>
  <c r="CV131"/>
  <c r="CV7" s="1"/>
  <c r="CW131"/>
  <c r="CW7" s="1"/>
  <c r="CH7"/>
  <c r="AU35" a="1"/>
  <c r="AU35" s="1"/>
  <c r="AU34" a="1"/>
  <c r="AU34" s="1"/>
  <c r="AU39" a="1"/>
  <c r="AU39" s="1"/>
  <c r="AU38"/>
  <c r="AU37"/>
  <c r="AS38"/>
  <c r="AS35" a="1"/>
  <c r="AS35" s="1"/>
  <c r="AS39" a="1"/>
  <c r="AS39" s="1"/>
  <c r="AS37"/>
  <c r="AS34" a="1"/>
  <c r="AS34" s="1"/>
  <c r="CC39" a="1"/>
  <c r="CC39" s="1"/>
  <c r="CA71"/>
  <c r="CA4" s="1"/>
  <c r="CA39" s="1" a="1"/>
  <c r="CA39" s="1"/>
  <c r="BT71"/>
  <c r="BT4" s="1"/>
  <c r="CB71"/>
  <c r="CB4" s="1"/>
  <c r="CB39" s="1" a="1"/>
  <c r="CB39" s="1"/>
  <c r="BM4"/>
  <c r="BM35" s="1" a="1"/>
  <c r="BM35" s="1"/>
  <c r="I35" s="1"/>
  <c r="CU131"/>
  <c r="CU7" s="1"/>
  <c r="CX131"/>
  <c r="CX7" s="1"/>
  <c r="CI7"/>
  <c r="CP131"/>
  <c r="CP7" s="1"/>
  <c r="CA38"/>
  <c r="CH51"/>
  <c r="BV51"/>
  <c r="BV3" s="1"/>
  <c r="BT51"/>
  <c r="BT3" s="1"/>
  <c r="CQ71" i="63"/>
  <c r="CQ4" s="1"/>
  <c r="CJ4"/>
  <c r="BS51"/>
  <c r="BS3" s="1"/>
  <c r="BL3"/>
  <c r="BU39" a="1"/>
  <c r="BU39" s="1"/>
  <c r="BU37"/>
  <c r="BU35" a="1"/>
  <c r="BU35" s="1"/>
  <c r="BU34" a="1"/>
  <c r="BU34" s="1"/>
  <c r="BU38"/>
  <c r="AT38"/>
  <c r="AT39" a="1"/>
  <c r="AT39" s="1"/>
  <c r="AT37"/>
  <c r="AT35" a="1"/>
  <c r="AT35" s="1"/>
  <c r="AT34" a="1"/>
  <c r="AT34" s="1"/>
  <c r="AV39" a="1"/>
  <c r="AV39" s="1"/>
  <c r="AV35" a="1"/>
  <c r="AV35" s="1"/>
  <c r="AV34" a="1"/>
  <c r="AV34" s="1"/>
  <c r="AV36" s="1"/>
  <c r="AV37"/>
  <c r="AV38"/>
  <c r="BN39" a="1"/>
  <c r="BN39" s="1"/>
  <c r="J39" s="1"/>
  <c r="BN34" a="1"/>
  <c r="BN34" s="1"/>
  <c r="BN37"/>
  <c r="J37" s="1"/>
  <c r="BN38"/>
  <c r="J38" s="1"/>
  <c r="BN35" a="1"/>
  <c r="BN35" s="1"/>
  <c r="J35" s="1"/>
  <c r="CG71"/>
  <c r="BS71"/>
  <c r="BS4" s="1"/>
  <c r="BL4"/>
  <c r="CU71"/>
  <c r="CU4" s="1"/>
  <c r="CP71"/>
  <c r="CP4" s="1"/>
  <c r="CX71"/>
  <c r="CX4" s="1"/>
  <c r="CI4"/>
  <c r="AS37"/>
  <c r="AS34" a="1"/>
  <c r="AS34" s="1"/>
  <c r="AS36" s="1"/>
  <c r="AS39" a="1"/>
  <c r="AS39" s="1"/>
  <c r="AS38"/>
  <c r="AS35" a="1"/>
  <c r="AS35" s="1"/>
  <c r="CU191"/>
  <c r="CU10" s="1"/>
  <c r="CP191"/>
  <c r="CP10" s="1"/>
  <c r="CX191"/>
  <c r="CX10" s="1"/>
  <c r="CI10"/>
  <c r="CH51"/>
  <c r="BT51"/>
  <c r="BT3" s="1"/>
  <c r="CA51"/>
  <c r="CA3" s="1"/>
  <c r="CB51"/>
  <c r="CB3" s="1"/>
  <c r="BM3"/>
  <c r="CU111"/>
  <c r="CU6" s="1"/>
  <c r="CP111"/>
  <c r="CP6" s="1"/>
  <c r="CX111"/>
  <c r="CX6" s="1"/>
  <c r="CI6"/>
  <c r="CA71"/>
  <c r="CA4" s="1"/>
  <c r="CB71"/>
  <c r="CB4" s="1"/>
  <c r="BM4"/>
  <c r="CH71"/>
  <c r="BT71"/>
  <c r="BT4" s="1"/>
  <c r="AR49"/>
  <c r="CI51" s="1"/>
  <c r="CJ51"/>
  <c r="BV51"/>
  <c r="BV3" s="1"/>
  <c r="BO3"/>
  <c r="CU151"/>
  <c r="CU8" s="1"/>
  <c r="CP151"/>
  <c r="CP8" s="1"/>
  <c r="CX151"/>
  <c r="CX8" s="1"/>
  <c r="CI8"/>
  <c r="CC51"/>
  <c r="CC3" s="1"/>
  <c r="BZ51"/>
  <c r="BZ3" s="1"/>
  <c r="AU36"/>
  <c r="AU39" i="62" a="1"/>
  <c r="AU39" s="1"/>
  <c r="AU35" a="1"/>
  <c r="AU35" s="1"/>
  <c r="AU34" a="1"/>
  <c r="AU34" s="1"/>
  <c r="AU38"/>
  <c r="AU37"/>
  <c r="BL4"/>
  <c r="BL35" s="1" a="1"/>
  <c r="BL35" s="1"/>
  <c r="H35" s="1"/>
  <c r="AR69"/>
  <c r="CH71" s="1"/>
  <c r="BV71"/>
  <c r="BV4" s="1"/>
  <c r="BO4"/>
  <c r="CU151"/>
  <c r="CU8" s="1"/>
  <c r="CX151"/>
  <c r="CX8" s="1"/>
  <c r="CI8"/>
  <c r="CP151"/>
  <c r="CP8" s="1"/>
  <c r="AV38"/>
  <c r="AV35" a="1"/>
  <c r="AV35" s="1"/>
  <c r="AV37"/>
  <c r="AV39" a="1"/>
  <c r="AV39" s="1"/>
  <c r="AV34" a="1"/>
  <c r="AV34" s="1"/>
  <c r="BZ51"/>
  <c r="BZ3" s="1"/>
  <c r="AQ49"/>
  <c r="CC51"/>
  <c r="CC3" s="1"/>
  <c r="BN3"/>
  <c r="BU51"/>
  <c r="BU3" s="1"/>
  <c r="BU71"/>
  <c r="BU4" s="1"/>
  <c r="BZ71"/>
  <c r="BZ4" s="1"/>
  <c r="AQ69"/>
  <c r="BT71" s="1"/>
  <c r="BT4" s="1"/>
  <c r="BN4"/>
  <c r="CC71"/>
  <c r="CC4" s="1"/>
  <c r="CO151"/>
  <c r="CO8" s="1"/>
  <c r="CW151"/>
  <c r="CW8" s="1"/>
  <c r="CH8"/>
  <c r="CV151"/>
  <c r="CV8" s="1"/>
  <c r="BL39" a="1"/>
  <c r="BL39" s="1"/>
  <c r="H39" s="1"/>
  <c r="BL38"/>
  <c r="H38" s="1"/>
  <c r="BL37"/>
  <c r="H37" s="1"/>
  <c r="BL34" a="1"/>
  <c r="BL34" s="1"/>
  <c r="CA38"/>
  <c r="CA37"/>
  <c r="CA71"/>
  <c r="CA4" s="1"/>
  <c r="CA35" s="1" a="1"/>
  <c r="CA35" s="1"/>
  <c r="CJ51"/>
  <c r="AS35" a="1"/>
  <c r="AS35" s="1"/>
  <c r="CB71"/>
  <c r="CB4" s="1"/>
  <c r="CO111"/>
  <c r="CO6" s="1"/>
  <c r="CW111"/>
  <c r="CW6" s="1"/>
  <c r="CH6"/>
  <c r="CV111"/>
  <c r="CV6" s="1"/>
  <c r="BM35" a="1"/>
  <c r="BM35" s="1"/>
  <c r="I35" s="1"/>
  <c r="BM34" a="1"/>
  <c r="BM34" s="1"/>
  <c r="BM37"/>
  <c r="I37" s="1"/>
  <c r="BM39" a="1"/>
  <c r="BM39" s="1"/>
  <c r="I39" s="1"/>
  <c r="BM38"/>
  <c r="I38" s="1"/>
  <c r="CU111"/>
  <c r="CU6" s="1"/>
  <c r="CX111"/>
  <c r="CX6" s="1"/>
  <c r="CI6"/>
  <c r="CP111"/>
  <c r="CP6" s="1"/>
  <c r="CB51"/>
  <c r="CB3" s="1"/>
  <c r="CU111" i="60"/>
  <c r="CU6" s="1"/>
  <c r="CP111"/>
  <c r="CP6" s="1"/>
  <c r="CX111"/>
  <c r="CX6" s="1"/>
  <c r="CI6"/>
  <c r="BM51"/>
  <c r="AT3"/>
  <c r="BH39"/>
  <c r="BH38"/>
  <c r="E37"/>
  <c r="F2" s="1"/>
  <c r="BH34"/>
  <c r="CI191"/>
  <c r="BU191"/>
  <c r="BU10" s="1"/>
  <c r="BZ191"/>
  <c r="BZ10" s="1"/>
  <c r="CC191"/>
  <c r="CC10" s="1"/>
  <c r="BN10"/>
  <c r="AQ189"/>
  <c r="CQ151"/>
  <c r="CQ8" s="1"/>
  <c r="CJ8"/>
  <c r="BN71"/>
  <c r="AU4"/>
  <c r="BN51"/>
  <c r="AU3"/>
  <c r="CN171"/>
  <c r="CN9" s="1"/>
  <c r="CG9"/>
  <c r="CG7"/>
  <c r="CN131"/>
  <c r="CN7" s="1"/>
  <c r="CO131"/>
  <c r="CO7" s="1"/>
  <c r="CV131"/>
  <c r="CV7" s="1"/>
  <c r="CW131"/>
  <c r="CW7" s="1"/>
  <c r="CH7"/>
  <c r="BG3"/>
  <c r="CY3"/>
  <c r="BW3"/>
  <c r="AP3"/>
  <c r="CR3"/>
  <c r="BP3"/>
  <c r="CD3"/>
  <c r="CK3"/>
  <c r="CQ131"/>
  <c r="CQ7" s="1"/>
  <c r="CJ7"/>
  <c r="CU151"/>
  <c r="CU8" s="1"/>
  <c r="CP151"/>
  <c r="CP8" s="1"/>
  <c r="CX151"/>
  <c r="CX8" s="1"/>
  <c r="CI8"/>
  <c r="BI36"/>
  <c r="E36" s="1"/>
  <c r="E34"/>
  <c r="CU171"/>
  <c r="CU9" s="1"/>
  <c r="CP171"/>
  <c r="CP9" s="1"/>
  <c r="CI9"/>
  <c r="CX171"/>
  <c r="CX9" s="1"/>
  <c r="CU131"/>
  <c r="CU7" s="1"/>
  <c r="CP131"/>
  <c r="CP7" s="1"/>
  <c r="CI7"/>
  <c r="CX131"/>
  <c r="CX7" s="1"/>
  <c r="BL71"/>
  <c r="AS4"/>
  <c r="CU91"/>
  <c r="CU5" s="1"/>
  <c r="CP91"/>
  <c r="CP5" s="1"/>
  <c r="CX91"/>
  <c r="CX5" s="1"/>
  <c r="CI5"/>
  <c r="BO51"/>
  <c r="AV3"/>
  <c r="CO171"/>
  <c r="CO9" s="1"/>
  <c r="CV171"/>
  <c r="CV9" s="1"/>
  <c r="CW171"/>
  <c r="CW9" s="1"/>
  <c r="CH9"/>
  <c r="CQ191"/>
  <c r="CQ10" s="1"/>
  <c r="CJ10"/>
  <c r="BM71"/>
  <c r="AT4"/>
  <c r="AS3"/>
  <c r="BL51"/>
  <c r="BO71"/>
  <c r="AV4"/>
  <c r="CG5"/>
  <c r="CN91"/>
  <c r="CN5" s="1"/>
  <c r="CQ111"/>
  <c r="CQ6" s="1"/>
  <c r="CJ6"/>
  <c r="CQ171"/>
  <c r="CQ9" s="1"/>
  <c r="CJ9"/>
  <c r="CO91"/>
  <c r="CO5" s="1"/>
  <c r="CV91"/>
  <c r="CV5" s="1"/>
  <c r="CH5"/>
  <c r="CW91"/>
  <c r="CW5" s="1"/>
  <c r="AR89"/>
  <c r="CJ91"/>
  <c r="BV91"/>
  <c r="BV5" s="1"/>
  <c r="BO5"/>
  <c r="E37" i="59"/>
  <c r="F2" s="1"/>
  <c r="BH38"/>
  <c r="BH39"/>
  <c r="BH34"/>
  <c r="BN50"/>
  <c r="BN190"/>
  <c r="BN170"/>
  <c r="BN150"/>
  <c r="BN130"/>
  <c r="BN110"/>
  <c r="BN90"/>
  <c r="BN70"/>
  <c r="BS50"/>
  <c r="BS190"/>
  <c r="BS170"/>
  <c r="BS150"/>
  <c r="BS130"/>
  <c r="BS110"/>
  <c r="BS90"/>
  <c r="BS70"/>
  <c r="BS33"/>
  <c r="CI50"/>
  <c r="CI33"/>
  <c r="CI190"/>
  <c r="CI150"/>
  <c r="CI110"/>
  <c r="CI170"/>
  <c r="CI130"/>
  <c r="CI90"/>
  <c r="AY39" a="1"/>
  <c r="AY39" s="1"/>
  <c r="AY38"/>
  <c r="AY35" a="1"/>
  <c r="AY35" s="1"/>
  <c r="AY37"/>
  <c r="AT7"/>
  <c r="BM131"/>
  <c r="CJ8"/>
  <c r="CQ151"/>
  <c r="CQ8" s="1"/>
  <c r="CN191"/>
  <c r="CN10" s="1"/>
  <c r="CG10"/>
  <c r="CY34"/>
  <c r="CD34"/>
  <c r="CK33"/>
  <c r="BP34"/>
  <c r="CD33"/>
  <c r="BP33"/>
  <c r="CK1"/>
  <c r="BG1"/>
  <c r="BW34"/>
  <c r="CR33"/>
  <c r="BG33"/>
  <c r="CR1"/>
  <c r="BP1"/>
  <c r="Z1"/>
  <c r="CY33"/>
  <c r="AP33"/>
  <c r="C33"/>
  <c r="BV50"/>
  <c r="BV170"/>
  <c r="BV130"/>
  <c r="BV90"/>
  <c r="BV70"/>
  <c r="BV33"/>
  <c r="CH190"/>
  <c r="CH170"/>
  <c r="CH150"/>
  <c r="CH130"/>
  <c r="CH110"/>
  <c r="CH90"/>
  <c r="CH70"/>
  <c r="CH50"/>
  <c r="CH33"/>
  <c r="CQ190"/>
  <c r="CQ170"/>
  <c r="CQ150"/>
  <c r="CQ130"/>
  <c r="CQ110"/>
  <c r="CQ90"/>
  <c r="CQ70"/>
  <c r="CQ50"/>
  <c r="BJ34"/>
  <c r="F33"/>
  <c r="BA39" a="1"/>
  <c r="BA39" s="1"/>
  <c r="BA37"/>
  <c r="BA35" a="1"/>
  <c r="BA35" s="1"/>
  <c r="BA38"/>
  <c r="BA34" a="1"/>
  <c r="BA34" s="1"/>
  <c r="AT5"/>
  <c r="BM91"/>
  <c r="CJ6"/>
  <c r="CQ111"/>
  <c r="CQ6" s="1"/>
  <c r="BL8"/>
  <c r="CG151"/>
  <c r="AJ163"/>
  <c r="AM163"/>
  <c r="AL163"/>
  <c r="AK163"/>
  <c r="AJ183"/>
  <c r="AM183"/>
  <c r="AK183"/>
  <c r="AS130"/>
  <c r="AS90"/>
  <c r="AS190"/>
  <c r="AS150"/>
  <c r="AS110"/>
  <c r="AS50"/>
  <c r="AS170"/>
  <c r="CP50"/>
  <c r="CP190"/>
  <c r="CP170"/>
  <c r="CP150"/>
  <c r="CP130"/>
  <c r="CP110"/>
  <c r="CP90"/>
  <c r="CP70"/>
  <c r="CP33"/>
  <c r="BB37"/>
  <c r="BB38"/>
  <c r="BB36" s="1"/>
  <c r="BB35" a="1"/>
  <c r="BB35" s="1"/>
  <c r="BB39" a="1"/>
  <c r="BB39" s="1"/>
  <c r="BE51"/>
  <c r="BE3" s="1"/>
  <c r="D4"/>
  <c r="AM43"/>
  <c r="BO51" s="1"/>
  <c r="AL43"/>
  <c r="BN51" s="1"/>
  <c r="AJ43"/>
  <c r="BL51" s="1"/>
  <c r="AT4"/>
  <c r="AT38" s="1"/>
  <c r="BL6"/>
  <c r="CG111"/>
  <c r="AJ123"/>
  <c r="AM123"/>
  <c r="AL123"/>
  <c r="AK123"/>
  <c r="AJ143"/>
  <c r="AM143"/>
  <c r="AK143"/>
  <c r="CA191"/>
  <c r="CA10" s="1"/>
  <c r="CH191"/>
  <c r="BT191"/>
  <c r="BT10" s="1"/>
  <c r="BM10"/>
  <c r="CB191"/>
  <c r="CB10" s="1"/>
  <c r="CD1"/>
  <c r="CQ33"/>
  <c r="CK34"/>
  <c r="AZ35" a="1"/>
  <c r="AZ35" s="1"/>
  <c r="BV150"/>
  <c r="BS191"/>
  <c r="BS10" s="1"/>
  <c r="CY1"/>
  <c r="BL10"/>
  <c r="BN33"/>
  <c r="BW33"/>
  <c r="CR34"/>
  <c r="BV110"/>
  <c r="BS151"/>
  <c r="BS8" s="1"/>
  <c r="AL183"/>
  <c r="CA111"/>
  <c r="CA6" s="1"/>
  <c r="CH111"/>
  <c r="BT111"/>
  <c r="BT6" s="1"/>
  <c r="CB111"/>
  <c r="CB6" s="1"/>
  <c r="AV190"/>
  <c r="AV170"/>
  <c r="AV150"/>
  <c r="AV130"/>
  <c r="AV110"/>
  <c r="AV90"/>
  <c r="AV70"/>
  <c r="AV50"/>
  <c r="AV33"/>
  <c r="BO190"/>
  <c r="BO170"/>
  <c r="BO150"/>
  <c r="BO130"/>
  <c r="BO110"/>
  <c r="BO90"/>
  <c r="BO70"/>
  <c r="BO33"/>
  <c r="AJ63"/>
  <c r="AM63"/>
  <c r="AK63"/>
  <c r="BM71" s="1"/>
  <c r="AJ83"/>
  <c r="AM83"/>
  <c r="AL83"/>
  <c r="AK83"/>
  <c r="AJ103"/>
  <c r="AM103"/>
  <c r="AK103"/>
  <c r="CA151"/>
  <c r="CA8" s="1"/>
  <c r="CH151"/>
  <c r="BT151"/>
  <c r="BT8" s="1"/>
  <c r="CB151"/>
  <c r="CB8" s="1"/>
  <c r="BM8"/>
  <c r="CA171"/>
  <c r="CA9" s="1"/>
  <c r="CH171"/>
  <c r="BT171"/>
  <c r="BT9" s="1"/>
  <c r="BM9"/>
  <c r="CB171"/>
  <c r="CB9" s="1"/>
  <c r="AY34" a="1"/>
  <c r="AY34" s="1"/>
  <c r="CI70"/>
  <c r="AP1"/>
  <c r="AZ38"/>
  <c r="AP34"/>
  <c r="CR91"/>
  <c r="CD91"/>
  <c r="AP91"/>
  <c r="Z82"/>
  <c r="CI151"/>
  <c r="BU151"/>
  <c r="BU8" s="1"/>
  <c r="BZ151"/>
  <c r="BZ8" s="1"/>
  <c r="AQ149"/>
  <c r="CR171"/>
  <c r="CD171"/>
  <c r="AP171"/>
  <c r="Z162"/>
  <c r="CI191"/>
  <c r="BU191"/>
  <c r="BU10" s="1"/>
  <c r="BZ191"/>
  <c r="BZ10" s="1"/>
  <c r="AQ189"/>
  <c r="BT190"/>
  <c r="BT170"/>
  <c r="BT150"/>
  <c r="BT130"/>
  <c r="BT110"/>
  <c r="BT90"/>
  <c r="BT70"/>
  <c r="AS71"/>
  <c r="AV71"/>
  <c r="CI91"/>
  <c r="BU91"/>
  <c r="BU5" s="1"/>
  <c r="BZ91"/>
  <c r="BZ5" s="1"/>
  <c r="AQ89"/>
  <c r="CR111"/>
  <c r="CD111"/>
  <c r="AP111"/>
  <c r="Z102"/>
  <c r="CI131"/>
  <c r="BU131"/>
  <c r="BU7" s="1"/>
  <c r="BZ131"/>
  <c r="BZ7" s="1"/>
  <c r="AQ129"/>
  <c r="CR151"/>
  <c r="CD151"/>
  <c r="AP151"/>
  <c r="Z142"/>
  <c r="CI171"/>
  <c r="BU171"/>
  <c r="BU9" s="1"/>
  <c r="BZ171"/>
  <c r="BZ9" s="1"/>
  <c r="AQ169"/>
  <c r="CR191"/>
  <c r="CD191"/>
  <c r="AP191"/>
  <c r="Z182"/>
  <c r="BM51"/>
  <c r="CK91"/>
  <c r="CK131"/>
  <c r="CK171"/>
  <c r="BI35" a="1"/>
  <c r="BI35" s="1"/>
  <c r="E35" s="1"/>
  <c r="E6"/>
  <c r="E8"/>
  <c r="AT33"/>
  <c r="AZ34" a="1"/>
  <c r="AZ34" s="1"/>
  <c r="AZ36" s="1"/>
  <c r="BI34" a="1"/>
  <c r="BI34" s="1"/>
  <c r="CN50"/>
  <c r="AT70"/>
  <c r="CJ70"/>
  <c r="AU71"/>
  <c r="BG71"/>
  <c r="BL90"/>
  <c r="BU90"/>
  <c r="BP91"/>
  <c r="CG91"/>
  <c r="CN110"/>
  <c r="CK111"/>
  <c r="BL130"/>
  <c r="BU130"/>
  <c r="CG131"/>
  <c r="CN150"/>
  <c r="CK151"/>
  <c r="BL170"/>
  <c r="BU170"/>
  <c r="BP171"/>
  <c r="CG171"/>
  <c r="CK191"/>
  <c r="CI111"/>
  <c r="BU111"/>
  <c r="BU6" s="1"/>
  <c r="BZ111"/>
  <c r="BZ6" s="1"/>
  <c r="AQ109"/>
  <c r="CR131"/>
  <c r="CD131"/>
  <c r="AP131"/>
  <c r="Z122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Z62"/>
  <c r="CR71"/>
  <c r="CD71"/>
  <c r="AP71"/>
  <c r="A62"/>
  <c r="AU6"/>
  <c r="AU8"/>
  <c r="BN10"/>
  <c r="AU33"/>
  <c r="AZ37"/>
  <c r="BI38"/>
  <c r="E38" s="1"/>
  <c r="BU70"/>
  <c r="BW71"/>
  <c r="BM90"/>
  <c r="BG91"/>
  <c r="AT110"/>
  <c r="CJ110"/>
  <c r="CO110"/>
  <c r="BM130"/>
  <c r="BG131"/>
  <c r="AT150"/>
  <c r="CJ150"/>
  <c r="CO150"/>
  <c r="BM170"/>
  <c r="BG171"/>
  <c r="AT190"/>
  <c r="CJ190"/>
  <c r="CO190"/>
  <c r="BW51"/>
  <c r="CK51"/>
  <c r="BJ60"/>
  <c r="CL60"/>
  <c r="BQ80"/>
  <c r="BQ100"/>
  <c r="BQ120"/>
  <c r="BQ140"/>
  <c r="BQ160"/>
  <c r="BQ180"/>
  <c r="BQ200"/>
  <c r="BQ60"/>
  <c r="AS36" i="58"/>
  <c r="E34"/>
  <c r="AZ36"/>
  <c r="AS170"/>
  <c r="AS150"/>
  <c r="AS110"/>
  <c r="AS50"/>
  <c r="AS130"/>
  <c r="AS90"/>
  <c r="AV190"/>
  <c r="AV170"/>
  <c r="AV150"/>
  <c r="AV130"/>
  <c r="AV110"/>
  <c r="AV90"/>
  <c r="AV70"/>
  <c r="AV33"/>
  <c r="BO190"/>
  <c r="BO170"/>
  <c r="BO150"/>
  <c r="BO130"/>
  <c r="BO110"/>
  <c r="BO90"/>
  <c r="BO70"/>
  <c r="BO33"/>
  <c r="BO50"/>
  <c r="CR91"/>
  <c r="CD91"/>
  <c r="AP91"/>
  <c r="Z82"/>
  <c r="BP91"/>
  <c r="A82"/>
  <c r="E6"/>
  <c r="CK91"/>
  <c r="BG91"/>
  <c r="CR131"/>
  <c r="CD131"/>
  <c r="AP131"/>
  <c r="Z122"/>
  <c r="BP131"/>
  <c r="A122"/>
  <c r="E8"/>
  <c r="BG131"/>
  <c r="CK131"/>
  <c r="CA171"/>
  <c r="CA9" s="1"/>
  <c r="CH171"/>
  <c r="BT171"/>
  <c r="BT9" s="1"/>
  <c r="BM9"/>
  <c r="CR191"/>
  <c r="CD191"/>
  <c r="AP191"/>
  <c r="Z182"/>
  <c r="BW191"/>
  <c r="A182"/>
  <c r="BG191"/>
  <c r="BP191"/>
  <c r="CY34"/>
  <c r="CD34"/>
  <c r="CK33"/>
  <c r="AP33"/>
  <c r="C33"/>
  <c r="BP34"/>
  <c r="CD33"/>
  <c r="CR1"/>
  <c r="BP1"/>
  <c r="Z1"/>
  <c r="CK34"/>
  <c r="BW34"/>
  <c r="CY33"/>
  <c r="BP33"/>
  <c r="BG33"/>
  <c r="CK1"/>
  <c r="BG1"/>
  <c r="AP34"/>
  <c r="BV50"/>
  <c r="BV190"/>
  <c r="BV70"/>
  <c r="BV170"/>
  <c r="BV150"/>
  <c r="BV130"/>
  <c r="BV110"/>
  <c r="BV90"/>
  <c r="BV33"/>
  <c r="CH190"/>
  <c r="CH170"/>
  <c r="CH150"/>
  <c r="CH130"/>
  <c r="CH110"/>
  <c r="CH90"/>
  <c r="CH70"/>
  <c r="CH50"/>
  <c r="CQ190"/>
  <c r="CQ170"/>
  <c r="CQ150"/>
  <c r="CQ130"/>
  <c r="CQ110"/>
  <c r="CQ90"/>
  <c r="CQ70"/>
  <c r="CQ33"/>
  <c r="AT38"/>
  <c r="AT34" a="1"/>
  <c r="AT34" s="1"/>
  <c r="AT37"/>
  <c r="AT35" a="1"/>
  <c r="AT35" s="1"/>
  <c r="AY39" a="1"/>
  <c r="AY39" s="1"/>
  <c r="AY38"/>
  <c r="AY35" a="1"/>
  <c r="AY35" s="1"/>
  <c r="AY34" a="1"/>
  <c r="AY34" s="1"/>
  <c r="AY36" s="1"/>
  <c r="BI37"/>
  <c r="BI39"/>
  <c r="E39" s="1"/>
  <c r="AM43"/>
  <c r="AL43"/>
  <c r="AJ43"/>
  <c r="AK43"/>
  <c r="AS37"/>
  <c r="AS39" a="1"/>
  <c r="AS39" s="1"/>
  <c r="AS38"/>
  <c r="AS35" a="1"/>
  <c r="AS35" s="1"/>
  <c r="BA39" a="1"/>
  <c r="BA39" s="1"/>
  <c r="BA37"/>
  <c r="BA35" a="1"/>
  <c r="BA35" s="1"/>
  <c r="BA38"/>
  <c r="BA34" a="1"/>
  <c r="BA34" s="1"/>
  <c r="CX51"/>
  <c r="CX3" s="1"/>
  <c r="CP51"/>
  <c r="CP3" s="1"/>
  <c r="CA71"/>
  <c r="CA4" s="1"/>
  <c r="CH71"/>
  <c r="BT71"/>
  <c r="BT4" s="1"/>
  <c r="CB71"/>
  <c r="CB4" s="1"/>
  <c r="CN191"/>
  <c r="CN10" s="1"/>
  <c r="CG10"/>
  <c r="AS33"/>
  <c r="AV50"/>
  <c r="CB171"/>
  <c r="CB9" s="1"/>
  <c r="CD1"/>
  <c r="E11"/>
  <c r="BW33"/>
  <c r="BN38"/>
  <c r="J38" s="1"/>
  <c r="AS190"/>
  <c r="CK191"/>
  <c r="CP50"/>
  <c r="CP190"/>
  <c r="CP170"/>
  <c r="CP150"/>
  <c r="CP130"/>
  <c r="CP110"/>
  <c r="CP90"/>
  <c r="CP70"/>
  <c r="CP33"/>
  <c r="CJ51"/>
  <c r="BV51"/>
  <c r="BV3" s="1"/>
  <c r="AR49"/>
  <c r="AJ63"/>
  <c r="AM63"/>
  <c r="AK63"/>
  <c r="BB37"/>
  <c r="BB38"/>
  <c r="BB35" a="1"/>
  <c r="BB35" s="1"/>
  <c r="BB34" a="1"/>
  <c r="BB34" s="1"/>
  <c r="BB36" s="1"/>
  <c r="BU38"/>
  <c r="CR111"/>
  <c r="CD111"/>
  <c r="AP111"/>
  <c r="Z102"/>
  <c r="BP111"/>
  <c r="A102"/>
  <c r="E7"/>
  <c r="CK111"/>
  <c r="BG111"/>
  <c r="CR151"/>
  <c r="CD151"/>
  <c r="AP151"/>
  <c r="Z142"/>
  <c r="BP151"/>
  <c r="A142"/>
  <c r="E9"/>
  <c r="CK151"/>
  <c r="BG151"/>
  <c r="CR171"/>
  <c r="CD171"/>
  <c r="AP171"/>
  <c r="Z162"/>
  <c r="A162"/>
  <c r="CK171"/>
  <c r="BG171"/>
  <c r="BW171"/>
  <c r="BN50"/>
  <c r="BN190"/>
  <c r="BN170"/>
  <c r="BN150"/>
  <c r="BN130"/>
  <c r="BN110"/>
  <c r="BN90"/>
  <c r="BN70"/>
  <c r="BS50"/>
  <c r="BS190"/>
  <c r="BS170"/>
  <c r="BS150"/>
  <c r="BS130"/>
  <c r="BS110"/>
  <c r="BS90"/>
  <c r="BS70"/>
  <c r="CI33"/>
  <c r="CI170"/>
  <c r="CI110"/>
  <c r="CI150"/>
  <c r="CI130"/>
  <c r="CI90"/>
  <c r="AU39" a="1"/>
  <c r="AU39" s="1"/>
  <c r="AU35" a="1"/>
  <c r="AU35" s="1"/>
  <c r="AU34" a="1"/>
  <c r="AU34" s="1"/>
  <c r="AU38"/>
  <c r="AU37"/>
  <c r="BJ34"/>
  <c r="F33"/>
  <c r="CH51"/>
  <c r="BT51"/>
  <c r="BT3" s="1"/>
  <c r="CB51"/>
  <c r="CB3" s="1"/>
  <c r="BM3"/>
  <c r="CN171"/>
  <c r="CN9" s="1"/>
  <c r="CG9"/>
  <c r="CA191"/>
  <c r="CA10" s="1"/>
  <c r="CH191"/>
  <c r="BT191"/>
  <c r="BT10" s="1"/>
  <c r="BM10"/>
  <c r="CB191"/>
  <c r="CB10" s="1"/>
  <c r="AV39" a="1"/>
  <c r="AV39" s="1"/>
  <c r="AS70"/>
  <c r="AZ38"/>
  <c r="BO3"/>
  <c r="AV38"/>
  <c r="AZ35" a="1"/>
  <c r="AZ35" s="1"/>
  <c r="CG4"/>
  <c r="BN33"/>
  <c r="CR33"/>
  <c r="AT39" a="1"/>
  <c r="AT39" s="1"/>
  <c r="CI50"/>
  <c r="CQ50"/>
  <c r="CA51"/>
  <c r="CA3" s="1"/>
  <c r="BM91"/>
  <c r="BM111"/>
  <c r="BM131"/>
  <c r="BM151"/>
  <c r="AJ83"/>
  <c r="AM83"/>
  <c r="AJ103"/>
  <c r="AM103"/>
  <c r="AJ123"/>
  <c r="AM123"/>
  <c r="AU50"/>
  <c r="AU190"/>
  <c r="AU170"/>
  <c r="AU150"/>
  <c r="AU130"/>
  <c r="AU110"/>
  <c r="AU90"/>
  <c r="AU70"/>
  <c r="BM50"/>
  <c r="BM33"/>
  <c r="CG50"/>
  <c r="CG190"/>
  <c r="CG170"/>
  <c r="CG150"/>
  <c r="CG130"/>
  <c r="CG110"/>
  <c r="CG90"/>
  <c r="CG70"/>
  <c r="CG33"/>
  <c r="CO50"/>
  <c r="CO33"/>
  <c r="Z62"/>
  <c r="CR71"/>
  <c r="CD71"/>
  <c r="AP71"/>
  <c r="A62"/>
  <c r="CI71"/>
  <c r="BU71"/>
  <c r="BU4" s="1"/>
  <c r="BU37" s="1"/>
  <c r="BZ71"/>
  <c r="BZ4" s="1"/>
  <c r="AQ69"/>
  <c r="CI191"/>
  <c r="BU191"/>
  <c r="BU10" s="1"/>
  <c r="BZ191"/>
  <c r="BZ10" s="1"/>
  <c r="AQ189"/>
  <c r="BL51"/>
  <c r="AL163"/>
  <c r="BS191"/>
  <c r="BS10" s="1"/>
  <c r="BO4"/>
  <c r="BL5"/>
  <c r="BL6"/>
  <c r="BL7"/>
  <c r="BL8"/>
  <c r="CJ33"/>
  <c r="AZ39" a="1"/>
  <c r="AZ39" s="1"/>
  <c r="BU50"/>
  <c r="BL70"/>
  <c r="BU70"/>
  <c r="BS71"/>
  <c r="BS4" s="1"/>
  <c r="CC71"/>
  <c r="CC4" s="1"/>
  <c r="CJ71"/>
  <c r="AK83"/>
  <c r="BM90"/>
  <c r="BS91"/>
  <c r="BS5" s="1"/>
  <c r="CJ91"/>
  <c r="AK103"/>
  <c r="BM110"/>
  <c r="BS111"/>
  <c r="BS6" s="1"/>
  <c r="CJ111"/>
  <c r="AK123"/>
  <c r="BM130"/>
  <c r="BS131"/>
  <c r="BS7" s="1"/>
  <c r="CJ131"/>
  <c r="BM150"/>
  <c r="BS151"/>
  <c r="BS8" s="1"/>
  <c r="CJ151"/>
  <c r="BM170"/>
  <c r="BV171"/>
  <c r="BV9" s="1"/>
  <c r="BL190"/>
  <c r="BU190"/>
  <c r="AJ143"/>
  <c r="AM143"/>
  <c r="AJ163"/>
  <c r="AM163"/>
  <c r="AJ183"/>
  <c r="AM183"/>
  <c r="BT190"/>
  <c r="BT170"/>
  <c r="BT150"/>
  <c r="BT130"/>
  <c r="BT110"/>
  <c r="BT90"/>
  <c r="BT70"/>
  <c r="AV37"/>
  <c r="AV34" a="1"/>
  <c r="AV34" s="1"/>
  <c r="AV36" s="1"/>
  <c r="BZ51"/>
  <c r="BZ3" s="1"/>
  <c r="AQ49"/>
  <c r="CC51"/>
  <c r="CC3" s="1"/>
  <c r="CI91"/>
  <c r="BU91"/>
  <c r="BU5" s="1"/>
  <c r="BZ91"/>
  <c r="BZ5" s="1"/>
  <c r="AQ89"/>
  <c r="CI111"/>
  <c r="BU111"/>
  <c r="BU6" s="1"/>
  <c r="BZ111"/>
  <c r="BZ6" s="1"/>
  <c r="AQ109"/>
  <c r="CI131"/>
  <c r="BU131"/>
  <c r="BU7" s="1"/>
  <c r="BZ131"/>
  <c r="BZ7" s="1"/>
  <c r="AQ129"/>
  <c r="CI151"/>
  <c r="BU151"/>
  <c r="BU8" s="1"/>
  <c r="BZ151"/>
  <c r="BZ8" s="1"/>
  <c r="AQ149"/>
  <c r="CI171"/>
  <c r="BU171"/>
  <c r="BU9" s="1"/>
  <c r="BZ171"/>
  <c r="BZ9" s="1"/>
  <c r="AQ169"/>
  <c r="BV71"/>
  <c r="BV4" s="1"/>
  <c r="AL83"/>
  <c r="AL103"/>
  <c r="AL123"/>
  <c r="AL183"/>
  <c r="BI35" a="1"/>
  <c r="BI35" s="1"/>
  <c r="E35" s="1"/>
  <c r="AU33"/>
  <c r="BT33"/>
  <c r="AV35" a="1"/>
  <c r="AV35" s="1"/>
  <c r="AZ37"/>
  <c r="BI38"/>
  <c r="E38" s="1"/>
  <c r="BL50"/>
  <c r="BT50"/>
  <c r="AT70"/>
  <c r="CJ70"/>
  <c r="CO70"/>
  <c r="BL90"/>
  <c r="BU90"/>
  <c r="BL110"/>
  <c r="BU110"/>
  <c r="BL130"/>
  <c r="BU130"/>
  <c r="BL150"/>
  <c r="BU150"/>
  <c r="BU170"/>
  <c r="CC171"/>
  <c r="CC9" s="1"/>
  <c r="AT190"/>
  <c r="CJ190"/>
  <c r="CO190"/>
  <c r="BW51"/>
  <c r="CK51"/>
  <c r="BQ80"/>
  <c r="CS80"/>
  <c r="BQ100"/>
  <c r="CS100"/>
  <c r="BQ120"/>
  <c r="CS120"/>
  <c r="BQ140"/>
  <c r="CS140"/>
  <c r="BQ160"/>
  <c r="CS160"/>
  <c r="BQ180"/>
  <c r="BQ200"/>
  <c r="A42"/>
  <c r="AP51"/>
  <c r="CD51"/>
  <c r="BQ60"/>
  <c r="AH80"/>
  <c r="AH100"/>
  <c r="AH120"/>
  <c r="AH140"/>
  <c r="AH160"/>
  <c r="CJ190" i="57"/>
  <c r="CJ150"/>
  <c r="CJ110"/>
  <c r="CJ70"/>
  <c r="CJ33"/>
  <c r="CJ170"/>
  <c r="CJ130"/>
  <c r="CJ90"/>
  <c r="CJ50"/>
  <c r="AK43"/>
  <c r="AY39" a="1"/>
  <c r="AY39" s="1"/>
  <c r="AY38"/>
  <c r="AY37"/>
  <c r="AY34" a="1"/>
  <c r="AY34" s="1"/>
  <c r="AY35" a="1"/>
  <c r="AY35" s="1"/>
  <c r="CN71"/>
  <c r="CN4" s="1"/>
  <c r="CG4"/>
  <c r="CI191"/>
  <c r="BU191"/>
  <c r="BU10" s="1"/>
  <c r="BZ191"/>
  <c r="BZ10" s="1"/>
  <c r="BN10"/>
  <c r="CC191"/>
  <c r="CC10" s="1"/>
  <c r="AQ189"/>
  <c r="BL190"/>
  <c r="BL170"/>
  <c r="BL150"/>
  <c r="BL130"/>
  <c r="BL110"/>
  <c r="BL90"/>
  <c r="BL70"/>
  <c r="BL50"/>
  <c r="BL33"/>
  <c r="BT190"/>
  <c r="BT170"/>
  <c r="BT150"/>
  <c r="BT130"/>
  <c r="BT110"/>
  <c r="BT90"/>
  <c r="BT70"/>
  <c r="BT50"/>
  <c r="BT33"/>
  <c r="CI71"/>
  <c r="BU71"/>
  <c r="BU4" s="1"/>
  <c r="BZ71"/>
  <c r="BZ4" s="1"/>
  <c r="CC71"/>
  <c r="CC4" s="1"/>
  <c r="AQ69"/>
  <c r="CN111"/>
  <c r="CN6" s="1"/>
  <c r="CG6"/>
  <c r="CI151"/>
  <c r="BU151"/>
  <c r="BU8" s="1"/>
  <c r="BZ151"/>
  <c r="BZ8" s="1"/>
  <c r="CC151"/>
  <c r="CC8" s="1"/>
  <c r="AQ149"/>
  <c r="BN8"/>
  <c r="CN191"/>
  <c r="CN10" s="1"/>
  <c r="CG10"/>
  <c r="BI35" a="1"/>
  <c r="BI35" s="1"/>
  <c r="E35" s="1"/>
  <c r="BI34" a="1"/>
  <c r="BI34" s="1"/>
  <c r="BI39"/>
  <c r="E39" s="1"/>
  <c r="BI37"/>
  <c r="BI38"/>
  <c r="E38" s="1"/>
  <c r="BA38"/>
  <c r="BA34" a="1"/>
  <c r="BA34" s="1"/>
  <c r="BA37"/>
  <c r="BA35" a="1"/>
  <c r="BA35" s="1"/>
  <c r="AZ38"/>
  <c r="AZ35" a="1"/>
  <c r="AZ35" s="1"/>
  <c r="AZ34" a="1"/>
  <c r="AZ34" s="1"/>
  <c r="AZ39" a="1"/>
  <c r="AZ39" s="1"/>
  <c r="AZ37"/>
  <c r="CI111"/>
  <c r="BU111"/>
  <c r="BU6" s="1"/>
  <c r="BZ111"/>
  <c r="BZ6" s="1"/>
  <c r="CC111"/>
  <c r="CC6" s="1"/>
  <c r="AQ109"/>
  <c r="BN6"/>
  <c r="CN151"/>
  <c r="CN8" s="1"/>
  <c r="CG8"/>
  <c r="AT33"/>
  <c r="AT170"/>
  <c r="AT130"/>
  <c r="AT90"/>
  <c r="AT50"/>
  <c r="AT190"/>
  <c r="AT150"/>
  <c r="AT110"/>
  <c r="AT70"/>
  <c r="CN190"/>
  <c r="CN170"/>
  <c r="CN150"/>
  <c r="CN130"/>
  <c r="CN110"/>
  <c r="CN90"/>
  <c r="CN70"/>
  <c r="CN50"/>
  <c r="CN33"/>
  <c r="BB37"/>
  <c r="BB35" a="1"/>
  <c r="BB35" s="1"/>
  <c r="BB39" a="1"/>
  <c r="BB39" s="1"/>
  <c r="BB38"/>
  <c r="BB34" a="1"/>
  <c r="BB34" s="1"/>
  <c r="CR51"/>
  <c r="CD51"/>
  <c r="AP51"/>
  <c r="A42"/>
  <c r="Z42"/>
  <c r="AR69"/>
  <c r="CJ71"/>
  <c r="BV71"/>
  <c r="BV4" s="1"/>
  <c r="CA71"/>
  <c r="CA4" s="1"/>
  <c r="CB71"/>
  <c r="CB4" s="1"/>
  <c r="BX80"/>
  <c r="AH80"/>
  <c r="CE80"/>
  <c r="AQ80"/>
  <c r="AJ83"/>
  <c r="AK83"/>
  <c r="AR109"/>
  <c r="CJ111"/>
  <c r="BV111"/>
  <c r="BV6" s="1"/>
  <c r="CA111"/>
  <c r="CA6" s="1"/>
  <c r="CB111"/>
  <c r="CB6" s="1"/>
  <c r="BX120"/>
  <c r="AH120"/>
  <c r="CE120"/>
  <c r="AQ120"/>
  <c r="AJ123"/>
  <c r="AK123"/>
  <c r="AR149"/>
  <c r="CJ151"/>
  <c r="BV151"/>
  <c r="BV8" s="1"/>
  <c r="CA151"/>
  <c r="CA8" s="1"/>
  <c r="CB151"/>
  <c r="CB8" s="1"/>
  <c r="BX160"/>
  <c r="AH160"/>
  <c r="CE160"/>
  <c r="AQ160"/>
  <c r="AJ163"/>
  <c r="AK163"/>
  <c r="AR189"/>
  <c r="CJ191"/>
  <c r="BV191"/>
  <c r="BV10" s="1"/>
  <c r="CA191"/>
  <c r="CA10" s="1"/>
  <c r="CB191"/>
  <c r="CB10" s="1"/>
  <c r="CY34"/>
  <c r="CR34"/>
  <c r="BP34"/>
  <c r="CY33"/>
  <c r="BW33"/>
  <c r="BG33"/>
  <c r="AS190"/>
  <c r="AS170"/>
  <c r="AS150"/>
  <c r="AS130"/>
  <c r="AS110"/>
  <c r="AS90"/>
  <c r="AS70"/>
  <c r="BS50"/>
  <c r="BS33"/>
  <c r="CI91"/>
  <c r="BU91"/>
  <c r="BU5" s="1"/>
  <c r="CI131"/>
  <c r="BU131"/>
  <c r="BU7" s="1"/>
  <c r="CI171"/>
  <c r="BU171"/>
  <c r="BU9" s="1"/>
  <c r="AV190"/>
  <c r="AV170"/>
  <c r="AV150"/>
  <c r="AV130"/>
  <c r="AV110"/>
  <c r="AV90"/>
  <c r="AV70"/>
  <c r="AV50"/>
  <c r="CH190"/>
  <c r="CH170"/>
  <c r="CH150"/>
  <c r="CH130"/>
  <c r="CH110"/>
  <c r="CH90"/>
  <c r="CH70"/>
  <c r="CH50"/>
  <c r="Z62"/>
  <c r="BP71"/>
  <c r="BG71"/>
  <c r="AJ63"/>
  <c r="AK63"/>
  <c r="AR89"/>
  <c r="CJ91"/>
  <c r="BV91"/>
  <c r="BV5" s="1"/>
  <c r="CA91"/>
  <c r="CA5" s="1"/>
  <c r="CB91"/>
  <c r="CB5" s="1"/>
  <c r="BX100"/>
  <c r="AH100"/>
  <c r="CE100"/>
  <c r="AQ100"/>
  <c r="AJ103"/>
  <c r="AK103"/>
  <c r="AR129"/>
  <c r="CJ131"/>
  <c r="BV131"/>
  <c r="BV7" s="1"/>
  <c r="CA131"/>
  <c r="CA7" s="1"/>
  <c r="CB131"/>
  <c r="CB7" s="1"/>
  <c r="BX140"/>
  <c r="AH140"/>
  <c r="CE140"/>
  <c r="AQ140"/>
  <c r="AJ143"/>
  <c r="AK143"/>
  <c r="AR169"/>
  <c r="CJ171"/>
  <c r="BV171"/>
  <c r="BV9" s="1"/>
  <c r="CA171"/>
  <c r="CA9" s="1"/>
  <c r="CB171"/>
  <c r="CB9" s="1"/>
  <c r="BX180"/>
  <c r="AH180"/>
  <c r="CE180"/>
  <c r="AQ180"/>
  <c r="AJ183"/>
  <c r="AK183"/>
  <c r="CS80"/>
  <c r="CS120"/>
  <c r="CS160"/>
  <c r="CS200"/>
  <c r="AV4"/>
  <c r="BM4"/>
  <c r="CK4"/>
  <c r="CD6"/>
  <c r="CD8"/>
  <c r="BG10"/>
  <c r="BP10"/>
  <c r="BP51"/>
  <c r="BT71"/>
  <c r="BT4" s="1"/>
  <c r="CH71"/>
  <c r="CL80"/>
  <c r="BZ91"/>
  <c r="BZ5" s="1"/>
  <c r="CN91"/>
  <c r="CN5" s="1"/>
  <c r="BT111"/>
  <c r="BT6" s="1"/>
  <c r="CH111"/>
  <c r="CL120"/>
  <c r="BZ131"/>
  <c r="BZ7" s="1"/>
  <c r="CN131"/>
  <c r="CN7" s="1"/>
  <c r="BT151"/>
  <c r="BT8" s="1"/>
  <c r="CH151"/>
  <c r="CL160"/>
  <c r="BZ171"/>
  <c r="BZ9" s="1"/>
  <c r="CN171"/>
  <c r="CN9" s="1"/>
  <c r="BT191"/>
  <c r="BT10" s="1"/>
  <c r="CH191"/>
  <c r="CL200"/>
  <c r="AP1"/>
  <c r="CD1"/>
  <c r="AT3"/>
  <c r="E4"/>
  <c r="AU4"/>
  <c r="BG4"/>
  <c r="BP4"/>
  <c r="CR4"/>
  <c r="AV6"/>
  <c r="BM6"/>
  <c r="CK6"/>
  <c r="AV8"/>
  <c r="BM8"/>
  <c r="CK8"/>
  <c r="BN9"/>
  <c r="AP10"/>
  <c r="BO10"/>
  <c r="BW10"/>
  <c r="C33"/>
  <c r="AS33"/>
  <c r="BN33"/>
  <c r="CH33"/>
  <c r="AS50"/>
  <c r="BW51"/>
  <c r="BM70"/>
  <c r="BS70"/>
  <c r="BS71"/>
  <c r="BS4" s="1"/>
  <c r="BQ80"/>
  <c r="CG90"/>
  <c r="CO90"/>
  <c r="CS100"/>
  <c r="BM110"/>
  <c r="BS110"/>
  <c r="BS111"/>
  <c r="BS6" s="1"/>
  <c r="BQ120"/>
  <c r="CG130"/>
  <c r="CO130"/>
  <c r="CS140"/>
  <c r="BM150"/>
  <c r="BS150"/>
  <c r="BS151"/>
  <c r="BS8" s="1"/>
  <c r="BQ160"/>
  <c r="CG170"/>
  <c r="CS180"/>
  <c r="BM190"/>
  <c r="BS190"/>
  <c r="BS191"/>
  <c r="BS10" s="1"/>
  <c r="BX200"/>
  <c r="AH200"/>
  <c r="CE200"/>
  <c r="AQ200"/>
  <c r="BO190"/>
  <c r="BO170"/>
  <c r="BO150"/>
  <c r="BO130"/>
  <c r="BO110"/>
  <c r="BO90"/>
  <c r="BO70"/>
  <c r="BO50"/>
  <c r="BO33"/>
  <c r="CI190"/>
  <c r="CI170"/>
  <c r="CI150"/>
  <c r="CI130"/>
  <c r="CI110"/>
  <c r="CI90"/>
  <c r="CI70"/>
  <c r="CI33"/>
  <c r="CQ190"/>
  <c r="CQ170"/>
  <c r="CQ150"/>
  <c r="CQ130"/>
  <c r="CQ110"/>
  <c r="CQ90"/>
  <c r="CQ70"/>
  <c r="CQ50"/>
  <c r="CQ33"/>
  <c r="BU190"/>
  <c r="BU170"/>
  <c r="BU150"/>
  <c r="BU130"/>
  <c r="BU110"/>
  <c r="BU90"/>
  <c r="BU70"/>
  <c r="CO91"/>
  <c r="CO5" s="1"/>
  <c r="CV91"/>
  <c r="CV5" s="1"/>
  <c r="CO131"/>
  <c r="CO7" s="1"/>
  <c r="CV131"/>
  <c r="CV7" s="1"/>
  <c r="CO171"/>
  <c r="CO9" s="1"/>
  <c r="CV171"/>
  <c r="CV9" s="1"/>
  <c r="BW1"/>
  <c r="CY1"/>
  <c r="AU3"/>
  <c r="CY10"/>
  <c r="BP33"/>
  <c r="CD33"/>
  <c r="BJ34"/>
  <c r="BW34"/>
  <c r="CD34"/>
  <c r="BG1"/>
  <c r="CK1"/>
  <c r="BA39" a="1"/>
  <c r="BA39" s="1"/>
  <c r="D4"/>
  <c r="AP4"/>
  <c r="BO4"/>
  <c r="BW4"/>
  <c r="AU6"/>
  <c r="BG6"/>
  <c r="BP6"/>
  <c r="AU8"/>
  <c r="BG8"/>
  <c r="BP8"/>
  <c r="CD10"/>
  <c r="CR10"/>
  <c r="AP33"/>
  <c r="BM33"/>
  <c r="CG33"/>
  <c r="CR33"/>
  <c r="AP34"/>
  <c r="BV50"/>
  <c r="BG51"/>
  <c r="CK51"/>
  <c r="AU70"/>
  <c r="CP70"/>
  <c r="BJ80"/>
  <c r="AM83"/>
  <c r="AQ89"/>
  <c r="BN90"/>
  <c r="BV90"/>
  <c r="AU110"/>
  <c r="CP110"/>
  <c r="BJ120"/>
  <c r="AM123"/>
  <c r="AQ129"/>
  <c r="BN130"/>
  <c r="BV130"/>
  <c r="AU150"/>
  <c r="CP150"/>
  <c r="BJ160"/>
  <c r="AM163"/>
  <c r="AQ169"/>
  <c r="BN170"/>
  <c r="AU190"/>
  <c r="CP190"/>
  <c r="BJ200"/>
  <c r="AH60"/>
  <c r="BX60"/>
  <c r="BG91"/>
  <c r="BG111"/>
  <c r="BG131"/>
  <c r="BG151"/>
  <c r="BG171"/>
  <c r="BG191"/>
  <c r="BQ60"/>
  <c r="CH190" i="56"/>
  <c r="CH170"/>
  <c r="CH150"/>
  <c r="CH130"/>
  <c r="CH110"/>
  <c r="CH90"/>
  <c r="CH70"/>
  <c r="CH33"/>
  <c r="CH50"/>
  <c r="CP50"/>
  <c r="CP190"/>
  <c r="CP170"/>
  <c r="CP150"/>
  <c r="CP130"/>
  <c r="CP110"/>
  <c r="CP90"/>
  <c r="CP70"/>
  <c r="CP33"/>
  <c r="AZ35" a="1"/>
  <c r="AZ35" s="1"/>
  <c r="AZ34" a="1"/>
  <c r="AZ34" s="1"/>
  <c r="AJ83"/>
  <c r="AM83"/>
  <c r="AL83"/>
  <c r="AK83"/>
  <c r="CA111"/>
  <c r="CA6" s="1"/>
  <c r="CH111"/>
  <c r="BT111"/>
  <c r="BT6" s="1"/>
  <c r="CB111"/>
  <c r="CB6" s="1"/>
  <c r="AJ123"/>
  <c r="AM123"/>
  <c r="AL123"/>
  <c r="AK123"/>
  <c r="CA151"/>
  <c r="CA8" s="1"/>
  <c r="CH151"/>
  <c r="BT151"/>
  <c r="BT8" s="1"/>
  <c r="CB151"/>
  <c r="CB8" s="1"/>
  <c r="AJ163"/>
  <c r="AM163"/>
  <c r="AL163"/>
  <c r="AK163"/>
  <c r="CA171"/>
  <c r="CA9" s="1"/>
  <c r="CH171"/>
  <c r="BT171"/>
  <c r="BT9" s="1"/>
  <c r="CB171"/>
  <c r="CB9" s="1"/>
  <c r="BM9"/>
  <c r="CA191"/>
  <c r="CA10" s="1"/>
  <c r="CH191"/>
  <c r="BT191"/>
  <c r="BT10" s="1"/>
  <c r="BM10"/>
  <c r="CB191"/>
  <c r="CB10" s="1"/>
  <c r="BB37"/>
  <c r="BB38"/>
  <c r="BB34" a="1"/>
  <c r="BB34" s="1"/>
  <c r="BB35" a="1"/>
  <c r="BB35" s="1"/>
  <c r="BB39" a="1"/>
  <c r="BB39" s="1"/>
  <c r="BI39"/>
  <c r="E39" s="1"/>
  <c r="BI37"/>
  <c r="BI34" a="1"/>
  <c r="BI34" s="1"/>
  <c r="BM6"/>
  <c r="BM8"/>
  <c r="AV190"/>
  <c r="AV170"/>
  <c r="AV150"/>
  <c r="AV130"/>
  <c r="AV110"/>
  <c r="AV90"/>
  <c r="AV70"/>
  <c r="AV50"/>
  <c r="AV33"/>
  <c r="BN50"/>
  <c r="BN190"/>
  <c r="BN170"/>
  <c r="BN150"/>
  <c r="BN130"/>
  <c r="BN110"/>
  <c r="BN90"/>
  <c r="BN70"/>
  <c r="BN33"/>
  <c r="BV50"/>
  <c r="BV170"/>
  <c r="BV130"/>
  <c r="BV90"/>
  <c r="BV33"/>
  <c r="BV110"/>
  <c r="BV70"/>
  <c r="BV190"/>
  <c r="BV150"/>
  <c r="BJ34"/>
  <c r="F33"/>
  <c r="AY37"/>
  <c r="AY34" a="1"/>
  <c r="AY34" s="1"/>
  <c r="AJ103"/>
  <c r="AM103"/>
  <c r="AJ183"/>
  <c r="AM183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AM43"/>
  <c r="BO51" s="1"/>
  <c r="AL43"/>
  <c r="CR171"/>
  <c r="CD171"/>
  <c r="AP171"/>
  <c r="Z162"/>
  <c r="CI191"/>
  <c r="BU191"/>
  <c r="BU10" s="1"/>
  <c r="BZ191"/>
  <c r="BZ10" s="1"/>
  <c r="AQ189"/>
  <c r="CY34"/>
  <c r="CD34"/>
  <c r="CK33"/>
  <c r="BO190"/>
  <c r="BO170"/>
  <c r="BO150"/>
  <c r="BO130"/>
  <c r="BO110"/>
  <c r="BO90"/>
  <c r="BO70"/>
  <c r="BS50"/>
  <c r="BS190"/>
  <c r="BS170"/>
  <c r="BS150"/>
  <c r="BS130"/>
  <c r="BS110"/>
  <c r="BS90"/>
  <c r="BS70"/>
  <c r="CQ190"/>
  <c r="CQ170"/>
  <c r="CQ150"/>
  <c r="CQ130"/>
  <c r="CQ110"/>
  <c r="CQ90"/>
  <c r="CQ70"/>
  <c r="AY39" a="1"/>
  <c r="AY39" s="1"/>
  <c r="AY38"/>
  <c r="AY35" a="1"/>
  <c r="AY35" s="1"/>
  <c r="CI91"/>
  <c r="BU91"/>
  <c r="BU5" s="1"/>
  <c r="BZ91"/>
  <c r="BZ5" s="1"/>
  <c r="AQ89"/>
  <c r="CR111"/>
  <c r="CD111"/>
  <c r="AP111"/>
  <c r="Z102"/>
  <c r="CI131"/>
  <c r="BU131"/>
  <c r="BU7" s="1"/>
  <c r="BZ131"/>
  <c r="BZ7" s="1"/>
  <c r="AQ129"/>
  <c r="CR151"/>
  <c r="CD151"/>
  <c r="AP151"/>
  <c r="Z142"/>
  <c r="CI171"/>
  <c r="BU171"/>
  <c r="BU9" s="1"/>
  <c r="BZ171"/>
  <c r="BZ9" s="1"/>
  <c r="AQ169"/>
  <c r="CR191"/>
  <c r="CD191"/>
  <c r="AP191"/>
  <c r="Z182"/>
  <c r="AL103"/>
  <c r="AL143"/>
  <c r="BS191"/>
  <c r="BS10" s="1"/>
  <c r="CJ6"/>
  <c r="AU33"/>
  <c r="AK43"/>
  <c r="BM91"/>
  <c r="CK91"/>
  <c r="AK103"/>
  <c r="BU110"/>
  <c r="CG111"/>
  <c r="BM131"/>
  <c r="CK131"/>
  <c r="BU150"/>
  <c r="CK171"/>
  <c r="AK183"/>
  <c r="BU190"/>
  <c r="CG191"/>
  <c r="CQ191"/>
  <c r="CQ10" s="1"/>
  <c r="BI35" a="1"/>
  <c r="BI35" s="1"/>
  <c r="E35" s="1"/>
  <c r="E6"/>
  <c r="E8"/>
  <c r="BW1"/>
  <c r="CY1"/>
  <c r="AT9"/>
  <c r="E10"/>
  <c r="AU10"/>
  <c r="AS33"/>
  <c r="BO33"/>
  <c r="CD33"/>
  <c r="CI33"/>
  <c r="CN33"/>
  <c r="BP34"/>
  <c r="AZ37"/>
  <c r="AZ38"/>
  <c r="BI38"/>
  <c r="E38" s="1"/>
  <c r="AS50"/>
  <c r="CN50"/>
  <c r="AS70"/>
  <c r="CI70"/>
  <c r="CN70"/>
  <c r="BL90"/>
  <c r="BU90"/>
  <c r="CG91"/>
  <c r="AS110"/>
  <c r="CI110"/>
  <c r="CN110"/>
  <c r="CK111"/>
  <c r="BL130"/>
  <c r="BU130"/>
  <c r="CG131"/>
  <c r="AS150"/>
  <c r="CI150"/>
  <c r="CN150"/>
  <c r="CK151"/>
  <c r="BU170"/>
  <c r="BP171"/>
  <c r="CG171"/>
  <c r="CI190"/>
  <c r="CK191"/>
  <c r="AJ63"/>
  <c r="AJ143"/>
  <c r="AM143"/>
  <c r="BM50"/>
  <c r="BM33"/>
  <c r="BA39" a="1"/>
  <c r="BA39" s="1"/>
  <c r="BA37"/>
  <c r="BA35" a="1"/>
  <c r="BA35" s="1"/>
  <c r="CR91"/>
  <c r="CD91"/>
  <c r="AP91"/>
  <c r="Z82"/>
  <c r="CI111"/>
  <c r="BU111"/>
  <c r="BU6" s="1"/>
  <c r="BZ111"/>
  <c r="BZ6" s="1"/>
  <c r="AQ109"/>
  <c r="CR131"/>
  <c r="CD131"/>
  <c r="AP131"/>
  <c r="Z122"/>
  <c r="CI151"/>
  <c r="BU151"/>
  <c r="BU8" s="1"/>
  <c r="BZ151"/>
  <c r="BZ8" s="1"/>
  <c r="AQ149"/>
  <c r="BT190"/>
  <c r="BT170"/>
  <c r="BT150"/>
  <c r="BT130"/>
  <c r="BT110"/>
  <c r="BT90"/>
  <c r="BT70"/>
  <c r="Z62"/>
  <c r="CR71"/>
  <c r="CD71"/>
  <c r="AP71"/>
  <c r="A62"/>
  <c r="BS111"/>
  <c r="BS6" s="1"/>
  <c r="BS151"/>
  <c r="BS8" s="1"/>
  <c r="AL183"/>
  <c r="BL8"/>
  <c r="CJ8"/>
  <c r="BU70"/>
  <c r="AT33"/>
  <c r="CJ33"/>
  <c r="BA34" a="1"/>
  <c r="BA34" s="1"/>
  <c r="BA38"/>
  <c r="AJ43"/>
  <c r="BL51" s="1"/>
  <c r="CQ50"/>
  <c r="AT70"/>
  <c r="CJ70"/>
  <c r="CO70"/>
  <c r="BW71"/>
  <c r="BM90"/>
  <c r="BG91"/>
  <c r="AT110"/>
  <c r="CJ110"/>
  <c r="CO110"/>
  <c r="BM130"/>
  <c r="BG131"/>
  <c r="AT150"/>
  <c r="CJ150"/>
  <c r="CO150"/>
  <c r="BM170"/>
  <c r="BG171"/>
  <c r="AT190"/>
  <c r="CJ190"/>
  <c r="CO190"/>
  <c r="BW51"/>
  <c r="BJ60"/>
  <c r="CL60"/>
  <c r="BQ80"/>
  <c r="BQ100"/>
  <c r="BQ120"/>
  <c r="BQ140"/>
  <c r="BQ160"/>
  <c r="BQ180"/>
  <c r="BQ200"/>
  <c r="BQ60"/>
  <c r="BP1" i="55"/>
  <c r="C33"/>
  <c r="CK1"/>
  <c r="CD34"/>
  <c r="CR1"/>
  <c r="AM63"/>
  <c r="BB34" a="1"/>
  <c r="BB34" s="1"/>
  <c r="AP71"/>
  <c r="BI37"/>
  <c r="BH34" s="1"/>
  <c r="E5"/>
  <c r="E13" i="45" s="1"/>
  <c r="A62" i="55"/>
  <c r="F33"/>
  <c r="BJ34"/>
  <c r="CI111"/>
  <c r="BU111"/>
  <c r="BU6" s="1"/>
  <c r="BN6"/>
  <c r="CC111"/>
  <c r="CC6" s="1"/>
  <c r="BZ111"/>
  <c r="BZ6" s="1"/>
  <c r="AQ109"/>
  <c r="AU50"/>
  <c r="AU190"/>
  <c r="AU150"/>
  <c r="AU110"/>
  <c r="AU70"/>
  <c r="BM70"/>
  <c r="BM50"/>
  <c r="BM170"/>
  <c r="BM130"/>
  <c r="BM90"/>
  <c r="BM33"/>
  <c r="BM190"/>
  <c r="BM150"/>
  <c r="BU190"/>
  <c r="BU170"/>
  <c r="BU150"/>
  <c r="BU130"/>
  <c r="BU110"/>
  <c r="BU90"/>
  <c r="BU70"/>
  <c r="BU50"/>
  <c r="AZ38"/>
  <c r="AZ35" a="1"/>
  <c r="AZ35" s="1"/>
  <c r="AM43"/>
  <c r="AJ43"/>
  <c r="AK43"/>
  <c r="AM83"/>
  <c r="AL83"/>
  <c r="CK5"/>
  <c r="CD5"/>
  <c r="AJ103"/>
  <c r="AK103"/>
  <c r="CI151"/>
  <c r="BU151"/>
  <c r="BU8" s="1"/>
  <c r="BN8"/>
  <c r="BZ151"/>
  <c r="BZ8" s="1"/>
  <c r="AM163"/>
  <c r="AL163"/>
  <c r="CI171"/>
  <c r="BU171"/>
  <c r="BU9" s="1"/>
  <c r="CC171"/>
  <c r="CC9" s="1"/>
  <c r="AQ169"/>
  <c r="BZ171"/>
  <c r="BZ9" s="1"/>
  <c r="BN9"/>
  <c r="AU10"/>
  <c r="BN191"/>
  <c r="AT33"/>
  <c r="AT190"/>
  <c r="AT150"/>
  <c r="AT110"/>
  <c r="AT170"/>
  <c r="BT190"/>
  <c r="BT170"/>
  <c r="BT150"/>
  <c r="BT130"/>
  <c r="BT110"/>
  <c r="BT90"/>
  <c r="BT70"/>
  <c r="BT50"/>
  <c r="AT3"/>
  <c r="CR4"/>
  <c r="BP4"/>
  <c r="BG4"/>
  <c r="CK4"/>
  <c r="CG50"/>
  <c r="CG170"/>
  <c r="CG190"/>
  <c r="CG150"/>
  <c r="CG110"/>
  <c r="CG33"/>
  <c r="CO190"/>
  <c r="CO150"/>
  <c r="CO110"/>
  <c r="CO170"/>
  <c r="CO130"/>
  <c r="CJ190"/>
  <c r="CJ150"/>
  <c r="CJ110"/>
  <c r="CJ70"/>
  <c r="CN190"/>
  <c r="CN170"/>
  <c r="CN150"/>
  <c r="CN130"/>
  <c r="CN110"/>
  <c r="CN90"/>
  <c r="CN70"/>
  <c r="BA39" a="1"/>
  <c r="BA39" s="1"/>
  <c r="BA38"/>
  <c r="BA37"/>
  <c r="BA35" a="1"/>
  <c r="BA35" s="1"/>
  <c r="BA34" a="1"/>
  <c r="BA34" s="1"/>
  <c r="AV51"/>
  <c r="AS51"/>
  <c r="AS71"/>
  <c r="AT71"/>
  <c r="AV71"/>
  <c r="AU71"/>
  <c r="CA91"/>
  <c r="CA5" s="1"/>
  <c r="CB91"/>
  <c r="CB5" s="1"/>
  <c r="BM5"/>
  <c r="CO111"/>
  <c r="CO6" s="1"/>
  <c r="CV111"/>
  <c r="CV6" s="1"/>
  <c r="CW111"/>
  <c r="CW6" s="1"/>
  <c r="CH6"/>
  <c r="CI131"/>
  <c r="BU131"/>
  <c r="BU7" s="1"/>
  <c r="CC131"/>
  <c r="CC7" s="1"/>
  <c r="AQ129"/>
  <c r="BN7"/>
  <c r="BZ131"/>
  <c r="BZ7" s="1"/>
  <c r="CG8"/>
  <c r="CN151"/>
  <c r="CN8" s="1"/>
  <c r="CG10"/>
  <c r="CN191"/>
  <c r="CN10" s="1"/>
  <c r="AU170"/>
  <c r="BW5"/>
  <c r="BT33"/>
  <c r="AT130"/>
  <c r="CY5"/>
  <c r="AU8"/>
  <c r="AU33"/>
  <c r="CO33"/>
  <c r="AZ34" a="1"/>
  <c r="AZ34" s="1"/>
  <c r="CY4"/>
  <c r="BG5"/>
  <c r="CR5"/>
  <c r="AU6"/>
  <c r="CN33"/>
  <c r="CG70"/>
  <c r="AU90"/>
  <c r="CJ90"/>
  <c r="CH91"/>
  <c r="AM103"/>
  <c r="CC151"/>
  <c r="CC8" s="1"/>
  <c r="BO91"/>
  <c r="AV5"/>
  <c r="BL190"/>
  <c r="BL170"/>
  <c r="BL150"/>
  <c r="BL130"/>
  <c r="BL110"/>
  <c r="BL90"/>
  <c r="BL70"/>
  <c r="BL50"/>
  <c r="BL33"/>
  <c r="BI35" a="1"/>
  <c r="BI35" s="1"/>
  <c r="E35" s="1"/>
  <c r="BI34" a="1"/>
  <c r="BI34" s="1"/>
  <c r="BI39"/>
  <c r="E39" s="1"/>
  <c r="AY39" a="1"/>
  <c r="AY39" s="1"/>
  <c r="AY38"/>
  <c r="AY37"/>
  <c r="AY34" a="1"/>
  <c r="AY34" s="1"/>
  <c r="CI91"/>
  <c r="BU91"/>
  <c r="BU5" s="1"/>
  <c r="CC91"/>
  <c r="CC5" s="1"/>
  <c r="AQ89"/>
  <c r="BN5"/>
  <c r="BZ91"/>
  <c r="BZ5" s="1"/>
  <c r="AM123"/>
  <c r="AL123"/>
  <c r="CA131"/>
  <c r="CA7" s="1"/>
  <c r="CB131"/>
  <c r="CB7" s="1"/>
  <c r="BT131"/>
  <c r="BT7" s="1"/>
  <c r="BM7"/>
  <c r="CH131"/>
  <c r="BX100"/>
  <c r="AH100"/>
  <c r="CE100"/>
  <c r="AQ100"/>
  <c r="CL100"/>
  <c r="BQ100"/>
  <c r="CO151"/>
  <c r="CO8" s="1"/>
  <c r="CV151"/>
  <c r="CV8" s="1"/>
  <c r="CW151"/>
  <c r="CW8" s="1"/>
  <c r="CH8"/>
  <c r="CA171"/>
  <c r="CA9" s="1"/>
  <c r="CB171"/>
  <c r="CB9" s="1"/>
  <c r="BT171"/>
  <c r="BT9" s="1"/>
  <c r="CH171"/>
  <c r="CO191"/>
  <c r="CO10" s="1"/>
  <c r="CV191"/>
  <c r="CV10" s="1"/>
  <c r="CW191"/>
  <c r="CW10" s="1"/>
  <c r="CH10"/>
  <c r="BU33"/>
  <c r="AZ39" a="1"/>
  <c r="AZ39" s="1"/>
  <c r="AU130"/>
  <c r="AP5"/>
  <c r="AZ37"/>
  <c r="BI38"/>
  <c r="E38" s="1"/>
  <c r="AL43"/>
  <c r="BN51" s="1"/>
  <c r="AQ149"/>
  <c r="BP5"/>
  <c r="BM110"/>
  <c r="AR169"/>
  <c r="CJ171"/>
  <c r="BV171"/>
  <c r="BV9" s="1"/>
  <c r="BX180"/>
  <c r="AH180"/>
  <c r="CE180"/>
  <c r="AQ180"/>
  <c r="AJ183"/>
  <c r="AK183"/>
  <c r="CY34"/>
  <c r="CR34"/>
  <c r="BP34"/>
  <c r="CY33"/>
  <c r="BW33"/>
  <c r="BG33"/>
  <c r="BO190"/>
  <c r="BO170"/>
  <c r="BO150"/>
  <c r="BO130"/>
  <c r="BO110"/>
  <c r="BO90"/>
  <c r="BO70"/>
  <c r="BO50"/>
  <c r="BO33"/>
  <c r="CI190"/>
  <c r="CI170"/>
  <c r="CI150"/>
  <c r="CI130"/>
  <c r="CI110"/>
  <c r="CI90"/>
  <c r="CI70"/>
  <c r="CI33"/>
  <c r="CQ190"/>
  <c r="CQ170"/>
  <c r="CQ150"/>
  <c r="CQ130"/>
  <c r="CQ110"/>
  <c r="CQ90"/>
  <c r="CQ70"/>
  <c r="CQ50"/>
  <c r="CQ33"/>
  <c r="AV190"/>
  <c r="AV170"/>
  <c r="AV150"/>
  <c r="AV130"/>
  <c r="AV110"/>
  <c r="AV90"/>
  <c r="AV70"/>
  <c r="AV50"/>
  <c r="CH190"/>
  <c r="CH170"/>
  <c r="CH150"/>
  <c r="CH130"/>
  <c r="CH110"/>
  <c r="CH90"/>
  <c r="CH70"/>
  <c r="CH50"/>
  <c r="BB37"/>
  <c r="BB35" a="1"/>
  <c r="BB35" s="1"/>
  <c r="CR51"/>
  <c r="CD51"/>
  <c r="AP51"/>
  <c r="A42"/>
  <c r="Z42"/>
  <c r="BX80"/>
  <c r="AH80"/>
  <c r="CE80"/>
  <c r="AQ80"/>
  <c r="AJ83"/>
  <c r="AK83"/>
  <c r="AR109"/>
  <c r="CJ111"/>
  <c r="BV111"/>
  <c r="BV6" s="1"/>
  <c r="BX120"/>
  <c r="AH120"/>
  <c r="CE120"/>
  <c r="AQ120"/>
  <c r="AJ123"/>
  <c r="AK123"/>
  <c r="AR149"/>
  <c r="CJ151"/>
  <c r="BV151"/>
  <c r="BV8" s="1"/>
  <c r="BX160"/>
  <c r="AH160"/>
  <c r="CE160"/>
  <c r="AQ160"/>
  <c r="AJ163"/>
  <c r="AK163"/>
  <c r="AR189"/>
  <c r="CJ191"/>
  <c r="BV191"/>
  <c r="BV10" s="1"/>
  <c r="BX200"/>
  <c r="AH200"/>
  <c r="CE200"/>
  <c r="AQ200"/>
  <c r="CS180"/>
  <c r="BW1"/>
  <c r="CD7"/>
  <c r="BW9"/>
  <c r="AP33"/>
  <c r="CR33"/>
  <c r="AP34"/>
  <c r="AP1"/>
  <c r="CD1"/>
  <c r="AV7"/>
  <c r="CD9"/>
  <c r="AV33"/>
  <c r="BV33"/>
  <c r="CK33"/>
  <c r="CP33"/>
  <c r="BW51"/>
  <c r="CP70"/>
  <c r="CD71"/>
  <c r="CS80"/>
  <c r="BS90"/>
  <c r="BT111"/>
  <c r="BT6" s="1"/>
  <c r="CS120"/>
  <c r="BS130"/>
  <c r="BT151"/>
  <c r="BT8" s="1"/>
  <c r="CS160"/>
  <c r="BQ180"/>
  <c r="BT191"/>
  <c r="BT10" s="1"/>
  <c r="CS200"/>
  <c r="AR129"/>
  <c r="CJ131"/>
  <c r="BV131"/>
  <c r="BV7" s="1"/>
  <c r="BX140"/>
  <c r="AH140"/>
  <c r="CE140"/>
  <c r="AQ140"/>
  <c r="AJ143"/>
  <c r="AK143"/>
  <c r="AS190"/>
  <c r="AS170"/>
  <c r="AS150"/>
  <c r="AS130"/>
  <c r="AS110"/>
  <c r="AS90"/>
  <c r="AS70"/>
  <c r="BS50"/>
  <c r="BS33"/>
  <c r="Z62"/>
  <c r="BP71"/>
  <c r="BG71"/>
  <c r="AJ63"/>
  <c r="AK63"/>
  <c r="CA111"/>
  <c r="CA6" s="1"/>
  <c r="CB111"/>
  <c r="CB6" s="1"/>
  <c r="CA151"/>
  <c r="CA8" s="1"/>
  <c r="CB151"/>
  <c r="CB8" s="1"/>
  <c r="CA191"/>
  <c r="CA10" s="1"/>
  <c r="CB191"/>
  <c r="CB10" s="1"/>
  <c r="BM10"/>
  <c r="CS140"/>
  <c r="CY1"/>
  <c r="AP9"/>
  <c r="BO9"/>
  <c r="BB38"/>
  <c r="BB39" a="1"/>
  <c r="BB39" s="1"/>
  <c r="BV50"/>
  <c r="BS70"/>
  <c r="BW71"/>
  <c r="CK71"/>
  <c r="BN90"/>
  <c r="BV90"/>
  <c r="CP110"/>
  <c r="BN130"/>
  <c r="BV130"/>
  <c r="CL140"/>
  <c r="CP150"/>
  <c r="BN170"/>
  <c r="CL180"/>
  <c r="CP190"/>
  <c r="BG91"/>
  <c r="BG111"/>
  <c r="BG131"/>
  <c r="BG151"/>
  <c r="BG171"/>
  <c r="BG191"/>
  <c r="BQ60"/>
  <c r="BO38" i="62" l="1"/>
  <c r="K38" s="1"/>
  <c r="CG51"/>
  <c r="CV51" s="1"/>
  <c r="CV3" s="1"/>
  <c r="CI51"/>
  <c r="CI3" s="1"/>
  <c r="BM51" i="55"/>
  <c r="BM3" s="1"/>
  <c r="AL43" i="57"/>
  <c r="BN51" s="1"/>
  <c r="BN3" s="1"/>
  <c r="AS37"/>
  <c r="AM43"/>
  <c r="AS34" a="1"/>
  <c r="AS34" s="1"/>
  <c r="AS35" a="1"/>
  <c r="AS35" s="1"/>
  <c r="AM63" i="56"/>
  <c r="AK63"/>
  <c r="AY36"/>
  <c r="BZ51" i="57"/>
  <c r="BZ3" s="1"/>
  <c r="BZ38" s="1"/>
  <c r="BS51"/>
  <c r="BS3" s="1"/>
  <c r="BS34" s="1" a="1"/>
  <c r="BS34" s="1"/>
  <c r="AJ18" s="1"/>
  <c r="AJ8" s="1"/>
  <c r="BL3"/>
  <c r="BO51"/>
  <c r="AV3"/>
  <c r="AV35" s="1" a="1"/>
  <c r="AV35" s="1"/>
  <c r="BA36"/>
  <c r="AS38"/>
  <c r="AS36" s="1"/>
  <c r="BB36"/>
  <c r="BM51"/>
  <c r="AV4" i="56"/>
  <c r="BO71"/>
  <c r="BM4"/>
  <c r="CA71"/>
  <c r="CA4" s="1"/>
  <c r="AS4"/>
  <c r="BL71"/>
  <c r="BN71"/>
  <c r="AU4"/>
  <c r="AU35" s="1" a="1"/>
  <c r="AU35" s="1"/>
  <c r="CJ51"/>
  <c r="BO3"/>
  <c r="AR49"/>
  <c r="CG51"/>
  <c r="CG3" s="1"/>
  <c r="BM51"/>
  <c r="AT3"/>
  <c r="AT37" s="1"/>
  <c r="BL3"/>
  <c r="BG3"/>
  <c r="CY3"/>
  <c r="CD3"/>
  <c r="BW3"/>
  <c r="BP3"/>
  <c r="CR3"/>
  <c r="CK3"/>
  <c r="AP3"/>
  <c r="BN51"/>
  <c r="AU3"/>
  <c r="AU38" s="1"/>
  <c r="BT38" i="66"/>
  <c r="BL37"/>
  <c r="H37" s="1"/>
  <c r="BM34" i="65" a="1"/>
  <c r="BM34" s="1"/>
  <c r="I34" s="1"/>
  <c r="BS34" i="64" a="1"/>
  <c r="BS34" s="1"/>
  <c r="AJ18" s="1"/>
  <c r="AJ8" s="1"/>
  <c r="BL35" a="1"/>
  <c r="BL35" s="1"/>
  <c r="H35" s="1"/>
  <c r="BM39" a="1"/>
  <c r="BM39" s="1"/>
  <c r="I39" s="1"/>
  <c r="CA37"/>
  <c r="BO37" i="62"/>
  <c r="K37" s="1"/>
  <c r="BO35" a="1"/>
  <c r="BO35" s="1"/>
  <c r="K35" s="1"/>
  <c r="BO39" a="1"/>
  <c r="BO39" s="1"/>
  <c r="K39" s="1"/>
  <c r="BU34" i="58" a="1"/>
  <c r="BU34" s="1"/>
  <c r="AL18" s="1"/>
  <c r="AJ6" s="1"/>
  <c r="BU39" a="1"/>
  <c r="BU39" s="1"/>
  <c r="BN34" a="1"/>
  <c r="BN34" s="1"/>
  <c r="BN36" s="1"/>
  <c r="J36" s="1"/>
  <c r="BN37"/>
  <c r="J37" s="1"/>
  <c r="BN39" a="1"/>
  <c r="BN39" s="1"/>
  <c r="J39" s="1"/>
  <c r="BH38" i="55"/>
  <c r="BL34" i="66" a="1"/>
  <c r="BL34" s="1"/>
  <c r="BL36" s="1"/>
  <c r="H36" s="1"/>
  <c r="BN35" a="1"/>
  <c r="BN35" s="1"/>
  <c r="J35" s="1"/>
  <c r="BL35" a="1"/>
  <c r="BL35" s="1"/>
  <c r="H35" s="1"/>
  <c r="BN38"/>
  <c r="J38" s="1"/>
  <c r="BT35" a="1"/>
  <c r="BT35" s="1"/>
  <c r="AS36" i="65"/>
  <c r="AV36"/>
  <c r="CI51"/>
  <c r="CP51" s="1"/>
  <c r="CP3" s="1"/>
  <c r="BV51"/>
  <c r="BV3" s="1"/>
  <c r="BV39" s="1" a="1"/>
  <c r="BV39" s="1"/>
  <c r="BU51"/>
  <c r="BU3" s="1"/>
  <c r="BU38" s="1"/>
  <c r="BN34" i="64" a="1"/>
  <c r="BN34" s="1"/>
  <c r="J34" s="1"/>
  <c r="BO34" a="1"/>
  <c r="BO34" s="1"/>
  <c r="BO36" s="1"/>
  <c r="K36" s="1"/>
  <c r="CC34" a="1"/>
  <c r="CC34" s="1"/>
  <c r="BU34" a="1"/>
  <c r="BU34" s="1"/>
  <c r="AL18" s="1"/>
  <c r="AJ6" s="1"/>
  <c r="AS36"/>
  <c r="BN37"/>
  <c r="J37" s="1"/>
  <c r="BZ35" a="1"/>
  <c r="BZ35" s="1"/>
  <c r="AT36" i="63"/>
  <c r="CD3" i="59"/>
  <c r="AP3"/>
  <c r="CR3"/>
  <c r="BG3"/>
  <c r="CK3"/>
  <c r="CY3"/>
  <c r="BW3"/>
  <c r="BP3"/>
  <c r="BA36"/>
  <c r="AT35" a="1"/>
  <c r="AT35" s="1"/>
  <c r="CA36" i="66"/>
  <c r="CC34" a="1"/>
  <c r="CC34" s="1"/>
  <c r="AS36"/>
  <c r="BN34" a="1"/>
  <c r="BN34" s="1"/>
  <c r="CC38"/>
  <c r="CC36" s="1"/>
  <c r="CN71"/>
  <c r="CN4" s="1"/>
  <c r="CN37" s="1"/>
  <c r="CG4"/>
  <c r="CG35" s="1" a="1"/>
  <c r="CG35" s="1"/>
  <c r="CJ4"/>
  <c r="CJ38" s="1"/>
  <c r="CQ71"/>
  <c r="CQ4" s="1"/>
  <c r="CQ38" s="1"/>
  <c r="CG37"/>
  <c r="CU71"/>
  <c r="CU4" s="1"/>
  <c r="CU35" s="1" a="1"/>
  <c r="CU35" s="1"/>
  <c r="CX71"/>
  <c r="CX4" s="1"/>
  <c r="CX35" s="1" a="1"/>
  <c r="CX35" s="1"/>
  <c r="CP71"/>
  <c r="CP4" s="1"/>
  <c r="CP37" s="1"/>
  <c r="CI4"/>
  <c r="CI35" s="1" a="1"/>
  <c r="CI35" s="1"/>
  <c r="CO71"/>
  <c r="CO4" s="1"/>
  <c r="CO35" s="1" a="1"/>
  <c r="CO35" s="1"/>
  <c r="CW71"/>
  <c r="CW4" s="1"/>
  <c r="CW35" s="1" a="1"/>
  <c r="CW35" s="1"/>
  <c r="CV71"/>
  <c r="CV4" s="1"/>
  <c r="CV35" s="1" a="1"/>
  <c r="CV35" s="1"/>
  <c r="CH4"/>
  <c r="CH37" s="1"/>
  <c r="CJ35" a="1"/>
  <c r="CJ35" s="1"/>
  <c r="CJ34" a="1"/>
  <c r="CJ34" s="1"/>
  <c r="CV39" a="1"/>
  <c r="CV39" s="1"/>
  <c r="CB34" a="1"/>
  <c r="CB34" s="1"/>
  <c r="BO34" a="1"/>
  <c r="BO34" s="1"/>
  <c r="CB35" a="1"/>
  <c r="CB35" s="1"/>
  <c r="BT39" a="1"/>
  <c r="BT39" s="1"/>
  <c r="AV36"/>
  <c r="CC37"/>
  <c r="CC39" a="1"/>
  <c r="CC39" s="1"/>
  <c r="CB39" a="1"/>
  <c r="CB39" s="1"/>
  <c r="CB38"/>
  <c r="BO38"/>
  <c r="K38" s="1"/>
  <c r="BT34" a="1"/>
  <c r="BT34" s="1"/>
  <c r="BZ38"/>
  <c r="BZ36" s="1"/>
  <c r="CX39" a="1"/>
  <c r="CX39" s="1"/>
  <c r="BM36"/>
  <c r="I36" s="1"/>
  <c r="I34"/>
  <c r="CP35" a="1"/>
  <c r="CP35" s="1"/>
  <c r="CO39" a="1"/>
  <c r="CO39" s="1"/>
  <c r="BZ39" a="1"/>
  <c r="BZ39" s="1"/>
  <c r="BS71"/>
  <c r="BS4" s="1"/>
  <c r="BS35" s="1" a="1"/>
  <c r="BS35" s="1"/>
  <c r="BO39" a="1"/>
  <c r="BO39" s="1"/>
  <c r="K39" s="1"/>
  <c r="BO35" a="1"/>
  <c r="BO35" s="1"/>
  <c r="K35" s="1"/>
  <c r="BZ37"/>
  <c r="AU36"/>
  <c r="BU71"/>
  <c r="BU4" s="1"/>
  <c r="BV71"/>
  <c r="BV4" s="1"/>
  <c r="BV38" s="1"/>
  <c r="BZ35" a="1"/>
  <c r="BZ35" s="1"/>
  <c r="CA39" i="65" a="1"/>
  <c r="CA39" s="1"/>
  <c r="CA35" a="1"/>
  <c r="CA35" s="1"/>
  <c r="CA34" a="1"/>
  <c r="CA34" s="1"/>
  <c r="CA37"/>
  <c r="CA38"/>
  <c r="CN71"/>
  <c r="CN4" s="1"/>
  <c r="CG4"/>
  <c r="BL39" a="1"/>
  <c r="BL39" s="1"/>
  <c r="H39" s="1"/>
  <c r="BL38"/>
  <c r="H38" s="1"/>
  <c r="BL37"/>
  <c r="H37" s="1"/>
  <c r="BL34" a="1"/>
  <c r="BL34" s="1"/>
  <c r="BL35" a="1"/>
  <c r="BL35" s="1"/>
  <c r="H35" s="1"/>
  <c r="BV38"/>
  <c r="BV37"/>
  <c r="BV34" a="1"/>
  <c r="BV34" s="1"/>
  <c r="CB38"/>
  <c r="CB37"/>
  <c r="CB35" a="1"/>
  <c r="CB35" s="1"/>
  <c r="CB34" a="1"/>
  <c r="CB34" s="1"/>
  <c r="CB39" a="1"/>
  <c r="CB39" s="1"/>
  <c r="BU35" a="1"/>
  <c r="BU35" s="1"/>
  <c r="CO51"/>
  <c r="CO3" s="1"/>
  <c r="CW51"/>
  <c r="CW3" s="1"/>
  <c r="CH3"/>
  <c r="CC39" a="1"/>
  <c r="CC39" s="1"/>
  <c r="CC35" a="1"/>
  <c r="CC35" s="1"/>
  <c r="CC38"/>
  <c r="CC37"/>
  <c r="CC34" a="1"/>
  <c r="CC34" s="1"/>
  <c r="BZ38"/>
  <c r="BZ37"/>
  <c r="BZ35" a="1"/>
  <c r="BZ35" s="1"/>
  <c r="BZ34" a="1"/>
  <c r="BZ34" s="1"/>
  <c r="BZ39" a="1"/>
  <c r="BZ39" s="1"/>
  <c r="BO35" a="1"/>
  <c r="BO35" s="1"/>
  <c r="K35" s="1"/>
  <c r="BO37"/>
  <c r="K37" s="1"/>
  <c r="BO38"/>
  <c r="K38" s="1"/>
  <c r="BO39" a="1"/>
  <c r="BO39" s="1"/>
  <c r="K39" s="1"/>
  <c r="BO34" a="1"/>
  <c r="BO34" s="1"/>
  <c r="CU71"/>
  <c r="CU4" s="1"/>
  <c r="BM38"/>
  <c r="I38" s="1"/>
  <c r="CG51"/>
  <c r="BN39" a="1"/>
  <c r="BN39" s="1"/>
  <c r="J39" s="1"/>
  <c r="BN34" a="1"/>
  <c r="BN34" s="1"/>
  <c r="BN38"/>
  <c r="J38" s="1"/>
  <c r="BN35" a="1"/>
  <c r="BN35" s="1"/>
  <c r="J35" s="1"/>
  <c r="BN37"/>
  <c r="J37" s="1"/>
  <c r="BT35" a="1"/>
  <c r="BT35" s="1"/>
  <c r="BT34" a="1"/>
  <c r="BT34" s="1"/>
  <c r="BT37"/>
  <c r="BT39" a="1"/>
  <c r="BT39" s="1"/>
  <c r="BT38"/>
  <c r="CQ71"/>
  <c r="CQ4" s="1"/>
  <c r="CJ4"/>
  <c r="CO71"/>
  <c r="CO4" s="1"/>
  <c r="CV71"/>
  <c r="CV4" s="1"/>
  <c r="CH4"/>
  <c r="CW71"/>
  <c r="CW4" s="1"/>
  <c r="AU36"/>
  <c r="AT36"/>
  <c r="BS51"/>
  <c r="BS3" s="1"/>
  <c r="CJ51"/>
  <c r="CN71" i="64"/>
  <c r="CN4" s="1"/>
  <c r="CG4"/>
  <c r="CN51"/>
  <c r="CN3" s="1"/>
  <c r="CG3"/>
  <c r="BT35" a="1"/>
  <c r="BT35" s="1"/>
  <c r="BT39" a="1"/>
  <c r="BT39" s="1"/>
  <c r="BT34" a="1"/>
  <c r="BT34" s="1"/>
  <c r="BT37"/>
  <c r="BT38"/>
  <c r="CW51"/>
  <c r="CW3" s="1"/>
  <c r="CV51"/>
  <c r="CV3" s="1"/>
  <c r="CH3"/>
  <c r="CO51"/>
  <c r="CO3" s="1"/>
  <c r="H34"/>
  <c r="BL36"/>
  <c r="H36" s="1"/>
  <c r="CB37"/>
  <c r="CC35" a="1"/>
  <c r="CC35" s="1"/>
  <c r="BU38"/>
  <c r="BO39" a="1"/>
  <c r="BO39" s="1"/>
  <c r="K39" s="1"/>
  <c r="BO35" a="1"/>
  <c r="BO35" s="1"/>
  <c r="K35" s="1"/>
  <c r="CA35" a="1"/>
  <c r="CA35" s="1"/>
  <c r="CC38"/>
  <c r="AU36"/>
  <c r="BU39" a="1"/>
  <c r="BU39" s="1"/>
  <c r="CI71"/>
  <c r="BN38"/>
  <c r="J38" s="1"/>
  <c r="BM34" a="1"/>
  <c r="BM34" s="1"/>
  <c r="BO37"/>
  <c r="K37" s="1"/>
  <c r="AV36"/>
  <c r="CB35" a="1"/>
  <c r="CB35" s="1"/>
  <c r="CB38"/>
  <c r="BZ38"/>
  <c r="BZ36" s="1"/>
  <c r="BS38"/>
  <c r="BS37"/>
  <c r="BV38"/>
  <c r="BV37"/>
  <c r="BV35" a="1"/>
  <c r="BV35" s="1"/>
  <c r="BV39" a="1"/>
  <c r="BV39" s="1"/>
  <c r="BV34" a="1"/>
  <c r="BV34" s="1"/>
  <c r="K34"/>
  <c r="CX51"/>
  <c r="CX3" s="1"/>
  <c r="CU51"/>
  <c r="CU3" s="1"/>
  <c r="CP51"/>
  <c r="CP3" s="1"/>
  <c r="CI3"/>
  <c r="AT36"/>
  <c r="BU35" a="1"/>
  <c r="BU35" s="1"/>
  <c r="BM37"/>
  <c r="I37" s="1"/>
  <c r="CB34" a="1"/>
  <c r="CB34" s="1"/>
  <c r="BZ39" a="1"/>
  <c r="BZ39" s="1"/>
  <c r="BS35" a="1"/>
  <c r="BS35" s="1"/>
  <c r="CA34" a="1"/>
  <c r="CA34" s="1"/>
  <c r="CA36" s="1"/>
  <c r="CH71"/>
  <c r="BN35" a="1"/>
  <c r="BN35" s="1"/>
  <c r="J35" s="1"/>
  <c r="CJ71"/>
  <c r="BM38"/>
  <c r="I38" s="1"/>
  <c r="BZ37"/>
  <c r="CQ51" i="63"/>
  <c r="CQ3" s="1"/>
  <c r="CJ3"/>
  <c r="CB38"/>
  <c r="CB37"/>
  <c r="CB34" a="1"/>
  <c r="CB34" s="1"/>
  <c r="CB39" a="1"/>
  <c r="CB39" s="1"/>
  <c r="CB35" a="1"/>
  <c r="CB35" s="1"/>
  <c r="BU36"/>
  <c r="AL18"/>
  <c r="AJ6" s="1"/>
  <c r="BL39" a="1"/>
  <c r="BL39" s="1"/>
  <c r="H39" s="1"/>
  <c r="BL38"/>
  <c r="H38" s="1"/>
  <c r="BL37"/>
  <c r="H37" s="1"/>
  <c r="BL34" a="1"/>
  <c r="BL34" s="1"/>
  <c r="BL35" a="1"/>
  <c r="BL35" s="1"/>
  <c r="H35" s="1"/>
  <c r="BV38"/>
  <c r="BV37"/>
  <c r="BV35" a="1"/>
  <c r="BV35" s="1"/>
  <c r="BV34" a="1"/>
  <c r="BV34" s="1"/>
  <c r="BV39" a="1"/>
  <c r="BV39" s="1"/>
  <c r="CO71"/>
  <c r="CO4" s="1"/>
  <c r="CV71"/>
  <c r="CV4" s="1"/>
  <c r="CH4"/>
  <c r="CW71"/>
  <c r="CW4" s="1"/>
  <c r="BM35" a="1"/>
  <c r="BM35" s="1"/>
  <c r="I35" s="1"/>
  <c r="BM38"/>
  <c r="I38" s="1"/>
  <c r="BM37"/>
  <c r="I37" s="1"/>
  <c r="BM34" a="1"/>
  <c r="BM34" s="1"/>
  <c r="BM39" a="1"/>
  <c r="BM39" s="1"/>
  <c r="I39" s="1"/>
  <c r="CO51"/>
  <c r="CO3" s="1"/>
  <c r="CV51"/>
  <c r="CV3" s="1"/>
  <c r="CW51"/>
  <c r="CW3" s="1"/>
  <c r="CH3"/>
  <c r="CN71"/>
  <c r="CN4" s="1"/>
  <c r="CG4"/>
  <c r="BN36"/>
  <c r="J36" s="1"/>
  <c r="J34"/>
  <c r="BO35" a="1"/>
  <c r="BO35" s="1"/>
  <c r="K35" s="1"/>
  <c r="BO34" a="1"/>
  <c r="BO34" s="1"/>
  <c r="BO39" a="1"/>
  <c r="BO39" s="1"/>
  <c r="K39" s="1"/>
  <c r="BO37"/>
  <c r="K37" s="1"/>
  <c r="BO38"/>
  <c r="K38" s="1"/>
  <c r="BT35" a="1"/>
  <c r="BT35" s="1"/>
  <c r="BT38"/>
  <c r="BT39" a="1"/>
  <c r="BT39" s="1"/>
  <c r="BT37"/>
  <c r="BT34" a="1"/>
  <c r="BT34" s="1"/>
  <c r="CG51"/>
  <c r="BZ34" a="1"/>
  <c r="BZ34" s="1"/>
  <c r="BZ39" a="1"/>
  <c r="BZ39" s="1"/>
  <c r="BZ38"/>
  <c r="BZ35" a="1"/>
  <c r="BZ35" s="1"/>
  <c r="BZ37"/>
  <c r="CC39" a="1"/>
  <c r="CC39" s="1"/>
  <c r="CC35" a="1"/>
  <c r="CC35" s="1"/>
  <c r="CC38"/>
  <c r="CC37"/>
  <c r="CC34" a="1"/>
  <c r="CC34" s="1"/>
  <c r="CX51"/>
  <c r="CX3" s="1"/>
  <c r="CU51"/>
  <c r="CU3" s="1"/>
  <c r="CP51"/>
  <c r="CP3" s="1"/>
  <c r="CI3"/>
  <c r="CA39" a="1"/>
  <c r="CA39" s="1"/>
  <c r="CA35" a="1"/>
  <c r="CA35" s="1"/>
  <c r="CA34" a="1"/>
  <c r="CA34" s="1"/>
  <c r="CA38"/>
  <c r="CA37"/>
  <c r="BS39" a="1"/>
  <c r="BS39" s="1"/>
  <c r="BS38"/>
  <c r="BS37"/>
  <c r="BS34" a="1"/>
  <c r="BS34" s="1"/>
  <c r="BS35" a="1"/>
  <c r="BS35" s="1"/>
  <c r="CQ51" i="62"/>
  <c r="CQ3" s="1"/>
  <c r="CJ3"/>
  <c r="CP51"/>
  <c r="CP3" s="1"/>
  <c r="CG3"/>
  <c r="BU38"/>
  <c r="BU37"/>
  <c r="BU35" a="1"/>
  <c r="BU35" s="1"/>
  <c r="BU34" a="1"/>
  <c r="BU34" s="1"/>
  <c r="BU39" a="1"/>
  <c r="BU39" s="1"/>
  <c r="BS51"/>
  <c r="BS3" s="1"/>
  <c r="BT51"/>
  <c r="BT3" s="1"/>
  <c r="BV51"/>
  <c r="BV3" s="1"/>
  <c r="AV36"/>
  <c r="CA34" a="1"/>
  <c r="CA34" s="1"/>
  <c r="CA36" s="1"/>
  <c r="CA39" a="1"/>
  <c r="CA39" s="1"/>
  <c r="BS71"/>
  <c r="BS4" s="1"/>
  <c r="AU36"/>
  <c r="K34"/>
  <c r="BO36"/>
  <c r="K36" s="1"/>
  <c r="CO71"/>
  <c r="CO4" s="1"/>
  <c r="CW71"/>
  <c r="CW4" s="1"/>
  <c r="CH4"/>
  <c r="CH38" s="1"/>
  <c r="BM36"/>
  <c r="I36" s="1"/>
  <c r="I34"/>
  <c r="BL36"/>
  <c r="H36" s="1"/>
  <c r="H34"/>
  <c r="BN39" a="1"/>
  <c r="BN39" s="1"/>
  <c r="J39" s="1"/>
  <c r="BN37"/>
  <c r="J37" s="1"/>
  <c r="BN34" a="1"/>
  <c r="BN34" s="1"/>
  <c r="BN35" a="1"/>
  <c r="BN35" s="1"/>
  <c r="J35" s="1"/>
  <c r="BN38"/>
  <c r="J38" s="1"/>
  <c r="BZ34" a="1"/>
  <c r="BZ34" s="1"/>
  <c r="BZ38"/>
  <c r="BZ35" a="1"/>
  <c r="BZ35" s="1"/>
  <c r="BZ39" a="1"/>
  <c r="BZ39" s="1"/>
  <c r="BZ37"/>
  <c r="CH37"/>
  <c r="CB38"/>
  <c r="CB37"/>
  <c r="CB34" a="1"/>
  <c r="CB34" s="1"/>
  <c r="CB39" a="1"/>
  <c r="CB39" s="1"/>
  <c r="CB35" a="1"/>
  <c r="CB35" s="1"/>
  <c r="CC39" a="1"/>
  <c r="CC39" s="1"/>
  <c r="CC35" a="1"/>
  <c r="CC35" s="1"/>
  <c r="CC34" a="1"/>
  <c r="CC34" s="1"/>
  <c r="CC38"/>
  <c r="CC37"/>
  <c r="CW51"/>
  <c r="CW3" s="1"/>
  <c r="CG71"/>
  <c r="CI71"/>
  <c r="CJ71"/>
  <c r="CO51"/>
  <c r="CO3" s="1"/>
  <c r="CQ91" i="60"/>
  <c r="CQ5" s="1"/>
  <c r="CJ5"/>
  <c r="AV39" a="1"/>
  <c r="AV39" s="1"/>
  <c r="AV35" a="1"/>
  <c r="AV35" s="1"/>
  <c r="AV37"/>
  <c r="AV34" a="1"/>
  <c r="AV34" s="1"/>
  <c r="AV38"/>
  <c r="AS37"/>
  <c r="AS34" a="1"/>
  <c r="AS34" s="1"/>
  <c r="AS38"/>
  <c r="AS39" a="1"/>
  <c r="AS39" s="1"/>
  <c r="AS35" a="1"/>
  <c r="AS35" s="1"/>
  <c r="BL4"/>
  <c r="BS71"/>
  <c r="BS4" s="1"/>
  <c r="CG71"/>
  <c r="AR69"/>
  <c r="CJ71" s="1"/>
  <c r="BV71"/>
  <c r="BV4" s="1"/>
  <c r="BO4"/>
  <c r="CA71"/>
  <c r="CA4" s="1"/>
  <c r="CB71"/>
  <c r="CB4" s="1"/>
  <c r="BM4"/>
  <c r="BT71"/>
  <c r="BT4" s="1"/>
  <c r="CH71"/>
  <c r="AR49"/>
  <c r="CI51" s="1"/>
  <c r="BO3"/>
  <c r="CJ51"/>
  <c r="BZ51"/>
  <c r="BZ3" s="1"/>
  <c r="AQ49"/>
  <c r="BV51" s="1"/>
  <c r="BV3" s="1"/>
  <c r="CC51"/>
  <c r="CC3" s="1"/>
  <c r="BN3"/>
  <c r="CH51"/>
  <c r="CA51"/>
  <c r="CA3" s="1"/>
  <c r="CB51"/>
  <c r="CB3" s="1"/>
  <c r="BM3"/>
  <c r="AU38"/>
  <c r="AU34" a="1"/>
  <c r="AU34" s="1"/>
  <c r="AU39" a="1"/>
  <c r="AU39" s="1"/>
  <c r="AU37"/>
  <c r="AU35" a="1"/>
  <c r="AU35" s="1"/>
  <c r="AT38"/>
  <c r="AT39" a="1"/>
  <c r="AT39" s="1"/>
  <c r="AT37"/>
  <c r="AT35" a="1"/>
  <c r="AT35" s="1"/>
  <c r="AT34" a="1"/>
  <c r="AT34" s="1"/>
  <c r="CI71"/>
  <c r="BU71"/>
  <c r="BU4" s="1"/>
  <c r="BZ71"/>
  <c r="BZ4" s="1"/>
  <c r="AQ69"/>
  <c r="BN4"/>
  <c r="CC71"/>
  <c r="CC4" s="1"/>
  <c r="CU191"/>
  <c r="CU10" s="1"/>
  <c r="CP191"/>
  <c r="CP10" s="1"/>
  <c r="CX191"/>
  <c r="CX10" s="1"/>
  <c r="CI10"/>
  <c r="CG51"/>
  <c r="BL3"/>
  <c r="BS51"/>
  <c r="BS3" s="1"/>
  <c r="BM4" i="59"/>
  <c r="CJ51"/>
  <c r="AR49"/>
  <c r="CI51" s="1"/>
  <c r="BO3"/>
  <c r="BZ51"/>
  <c r="BZ3" s="1"/>
  <c r="AQ49"/>
  <c r="BT51" s="1"/>
  <c r="BT3" s="1"/>
  <c r="CC51"/>
  <c r="CC3" s="1"/>
  <c r="BN3"/>
  <c r="BU51"/>
  <c r="BU3" s="1"/>
  <c r="CU131"/>
  <c r="CU7" s="1"/>
  <c r="CX131"/>
  <c r="CX7" s="1"/>
  <c r="CI7"/>
  <c r="CP131"/>
  <c r="CP7" s="1"/>
  <c r="CU91"/>
  <c r="CU5" s="1"/>
  <c r="CX91"/>
  <c r="CX5" s="1"/>
  <c r="CI5"/>
  <c r="CP91"/>
  <c r="CP5" s="1"/>
  <c r="E34"/>
  <c r="BI36"/>
  <c r="E36" s="1"/>
  <c r="CU191"/>
  <c r="CU10" s="1"/>
  <c r="CX191"/>
  <c r="CX10" s="1"/>
  <c r="CP191"/>
  <c r="CP10" s="1"/>
  <c r="CI10"/>
  <c r="CU151"/>
  <c r="CU8" s="1"/>
  <c r="CX151"/>
  <c r="CX8" s="1"/>
  <c r="CP151"/>
  <c r="CP8" s="1"/>
  <c r="CI8"/>
  <c r="CN111"/>
  <c r="CN6" s="1"/>
  <c r="CG6"/>
  <c r="CY4"/>
  <c r="BW4"/>
  <c r="AP4"/>
  <c r="CD4"/>
  <c r="CR4"/>
  <c r="BG4"/>
  <c r="BP4"/>
  <c r="CK4"/>
  <c r="CR7"/>
  <c r="BP7"/>
  <c r="BG7"/>
  <c r="CY7"/>
  <c r="BW7"/>
  <c r="AP7"/>
  <c r="CD7"/>
  <c r="CK7"/>
  <c r="CN171"/>
  <c r="CN9" s="1"/>
  <c r="CG9"/>
  <c r="BN71"/>
  <c r="AU4"/>
  <c r="CD10"/>
  <c r="BW10"/>
  <c r="AP10"/>
  <c r="CK10"/>
  <c r="CY10"/>
  <c r="CR10"/>
  <c r="BG10"/>
  <c r="BP10"/>
  <c r="CR8"/>
  <c r="BP8"/>
  <c r="BG8"/>
  <c r="CK8"/>
  <c r="CY8"/>
  <c r="BW8"/>
  <c r="AP8"/>
  <c r="CD8"/>
  <c r="CR6"/>
  <c r="BP6"/>
  <c r="BG6"/>
  <c r="CY6"/>
  <c r="BW6"/>
  <c r="AP6"/>
  <c r="CD6"/>
  <c r="CK6"/>
  <c r="BL71"/>
  <c r="AS4"/>
  <c r="CO151"/>
  <c r="CO8" s="1"/>
  <c r="CW151"/>
  <c r="CW8" s="1"/>
  <c r="CV151"/>
  <c r="CV8" s="1"/>
  <c r="CH8"/>
  <c r="CO191"/>
  <c r="CO10" s="1"/>
  <c r="CH10"/>
  <c r="CW191"/>
  <c r="CW10" s="1"/>
  <c r="CV191"/>
  <c r="CV10" s="1"/>
  <c r="AT34" a="1"/>
  <c r="AT34" s="1"/>
  <c r="AT36" s="1"/>
  <c r="AT37"/>
  <c r="AT39" a="1"/>
  <c r="AT39" s="1"/>
  <c r="CU111"/>
  <c r="CU6" s="1"/>
  <c r="CX111"/>
  <c r="CX6" s="1"/>
  <c r="CP111"/>
  <c r="CP6" s="1"/>
  <c r="CI6"/>
  <c r="CN131"/>
  <c r="CN7" s="1"/>
  <c r="CG7"/>
  <c r="CH51"/>
  <c r="CB51"/>
  <c r="CB3" s="1"/>
  <c r="CA51"/>
  <c r="CA3" s="1"/>
  <c r="BM3"/>
  <c r="CU171"/>
  <c r="CU9" s="1"/>
  <c r="CX171"/>
  <c r="CX9" s="1"/>
  <c r="CP171"/>
  <c r="CP9" s="1"/>
  <c r="CI9"/>
  <c r="CA131"/>
  <c r="CA7" s="1"/>
  <c r="CH131"/>
  <c r="BT131"/>
  <c r="BT7" s="1"/>
  <c r="CB131"/>
  <c r="CB7" s="1"/>
  <c r="BM7"/>
  <c r="BS51"/>
  <c r="BS3" s="1"/>
  <c r="BL3"/>
  <c r="CN151"/>
  <c r="CN8" s="1"/>
  <c r="CG8"/>
  <c r="CA91"/>
  <c r="CA5" s="1"/>
  <c r="CH91"/>
  <c r="BT91"/>
  <c r="BT5" s="1"/>
  <c r="CB91"/>
  <c r="CB5" s="1"/>
  <c r="BM5"/>
  <c r="CN91"/>
  <c r="CN5" s="1"/>
  <c r="CG5"/>
  <c r="BO71"/>
  <c r="AV4"/>
  <c r="CK9"/>
  <c r="CD9"/>
  <c r="CR9"/>
  <c r="BP9"/>
  <c r="BG9"/>
  <c r="BW9"/>
  <c r="CY9"/>
  <c r="AP9"/>
  <c r="CR5"/>
  <c r="BP5"/>
  <c r="BG5"/>
  <c r="CY5"/>
  <c r="BW5"/>
  <c r="AP5"/>
  <c r="CK5"/>
  <c r="CD5"/>
  <c r="CO171"/>
  <c r="CO9" s="1"/>
  <c r="CV171"/>
  <c r="CV9" s="1"/>
  <c r="CH9"/>
  <c r="CW171"/>
  <c r="CW9" s="1"/>
  <c r="CO111"/>
  <c r="CO6" s="1"/>
  <c r="CW111"/>
  <c r="CW6" s="1"/>
  <c r="CV111"/>
  <c r="CV6" s="1"/>
  <c r="CH6"/>
  <c r="AY36"/>
  <c r="CC39" i="58" a="1"/>
  <c r="CC39" s="1"/>
  <c r="CC35" a="1"/>
  <c r="CC35" s="1"/>
  <c r="CC34" a="1"/>
  <c r="CC34" s="1"/>
  <c r="CC38"/>
  <c r="CC37"/>
  <c r="CY8"/>
  <c r="BW8"/>
  <c r="AP8"/>
  <c r="CR8"/>
  <c r="BP8"/>
  <c r="BG8"/>
  <c r="CK8"/>
  <c r="CD8"/>
  <c r="CU171"/>
  <c r="CU9" s="1"/>
  <c r="CX171"/>
  <c r="CX9" s="1"/>
  <c r="CP171"/>
  <c r="CP9" s="1"/>
  <c r="CI9"/>
  <c r="CU151"/>
  <c r="CU8" s="1"/>
  <c r="CX151"/>
  <c r="CX8" s="1"/>
  <c r="CI8"/>
  <c r="CP151"/>
  <c r="CP8" s="1"/>
  <c r="CU131"/>
  <c r="CU7" s="1"/>
  <c r="CX131"/>
  <c r="CX7" s="1"/>
  <c r="CI7"/>
  <c r="CP131"/>
  <c r="CP7" s="1"/>
  <c r="CU111"/>
  <c r="CU6" s="1"/>
  <c r="CX111"/>
  <c r="CX6" s="1"/>
  <c r="CI6"/>
  <c r="CP111"/>
  <c r="CP6" s="1"/>
  <c r="CU91"/>
  <c r="CU5" s="1"/>
  <c r="CX91"/>
  <c r="CX5" s="1"/>
  <c r="CI5"/>
  <c r="CP91"/>
  <c r="CP5" s="1"/>
  <c r="CR9"/>
  <c r="BP9"/>
  <c r="BG9"/>
  <c r="CK9"/>
  <c r="CD9"/>
  <c r="CY9"/>
  <c r="AP9"/>
  <c r="BW9"/>
  <c r="BV38"/>
  <c r="BV37"/>
  <c r="BV35" a="1"/>
  <c r="BV35" s="1"/>
  <c r="BV39" a="1"/>
  <c r="BV39" s="1"/>
  <c r="BV34" a="1"/>
  <c r="BV34" s="1"/>
  <c r="CQ131"/>
  <c r="CQ7" s="1"/>
  <c r="CJ7"/>
  <c r="CQ111"/>
  <c r="CQ6" s="1"/>
  <c r="CJ6"/>
  <c r="CQ91"/>
  <c r="CQ5" s="1"/>
  <c r="CJ5"/>
  <c r="CQ71"/>
  <c r="CQ4" s="1"/>
  <c r="CJ4"/>
  <c r="J34"/>
  <c r="CD4"/>
  <c r="CY4"/>
  <c r="BW4"/>
  <c r="AP4"/>
  <c r="CR4"/>
  <c r="BP4"/>
  <c r="CK4"/>
  <c r="BG4"/>
  <c r="CA131"/>
  <c r="CA7" s="1"/>
  <c r="CH131"/>
  <c r="BT131"/>
  <c r="BT7" s="1"/>
  <c r="BT34" s="1" a="1"/>
  <c r="BT34" s="1"/>
  <c r="CB131"/>
  <c r="CB7" s="1"/>
  <c r="BM7"/>
  <c r="CO191"/>
  <c r="CO10" s="1"/>
  <c r="CH10"/>
  <c r="CV191"/>
  <c r="CV10" s="1"/>
  <c r="CW191"/>
  <c r="CW10" s="1"/>
  <c r="CY6"/>
  <c r="BW6"/>
  <c r="AP6"/>
  <c r="CR6"/>
  <c r="BP6"/>
  <c r="BG6"/>
  <c r="CD6"/>
  <c r="CK6"/>
  <c r="CO71"/>
  <c r="CO4" s="1"/>
  <c r="CH4"/>
  <c r="CW71"/>
  <c r="CW4" s="1"/>
  <c r="CV71"/>
  <c r="CV4" s="1"/>
  <c r="CO171"/>
  <c r="CO9" s="1"/>
  <c r="CV171"/>
  <c r="CV9" s="1"/>
  <c r="CW171"/>
  <c r="CW9" s="1"/>
  <c r="CH9"/>
  <c r="CY7"/>
  <c r="BW7"/>
  <c r="AP7"/>
  <c r="CR7"/>
  <c r="BP7"/>
  <c r="BG7"/>
  <c r="CK7"/>
  <c r="CD7"/>
  <c r="AU36"/>
  <c r="BU35" a="1"/>
  <c r="BU35" s="1"/>
  <c r="BA36"/>
  <c r="BI36"/>
  <c r="E36" s="1"/>
  <c r="CA151"/>
  <c r="CA8" s="1"/>
  <c r="CH151"/>
  <c r="BT151"/>
  <c r="BT8" s="1"/>
  <c r="CB151"/>
  <c r="CB8" s="1"/>
  <c r="BM8"/>
  <c r="CW51"/>
  <c r="CW3" s="1"/>
  <c r="CV51"/>
  <c r="CV3" s="1"/>
  <c r="CO51"/>
  <c r="CO3" s="1"/>
  <c r="CH3"/>
  <c r="CQ51"/>
  <c r="CQ3" s="1"/>
  <c r="CJ3"/>
  <c r="CK10"/>
  <c r="CD10"/>
  <c r="BP10"/>
  <c r="CR10"/>
  <c r="BG10"/>
  <c r="CY10"/>
  <c r="BW10"/>
  <c r="AP10"/>
  <c r="CK3"/>
  <c r="CD3"/>
  <c r="CY3"/>
  <c r="AP3"/>
  <c r="BP3"/>
  <c r="CR3"/>
  <c r="BW3"/>
  <c r="BG3"/>
  <c r="CG51"/>
  <c r="BS51"/>
  <c r="BS3" s="1"/>
  <c r="BL3"/>
  <c r="CU191"/>
  <c r="CU10" s="1"/>
  <c r="CX191"/>
  <c r="CX10" s="1"/>
  <c r="CP191"/>
  <c r="CP10" s="1"/>
  <c r="CI10"/>
  <c r="CU71"/>
  <c r="CU4" s="1"/>
  <c r="CX71"/>
  <c r="CX4" s="1"/>
  <c r="CX35" s="1" a="1"/>
  <c r="CX35" s="1"/>
  <c r="CI4"/>
  <c r="CP71"/>
  <c r="CP4" s="1"/>
  <c r="CA91"/>
  <c r="CA5" s="1"/>
  <c r="CA35" s="1" a="1"/>
  <c r="CA35" s="1"/>
  <c r="CH91"/>
  <c r="BT91"/>
  <c r="BT5" s="1"/>
  <c r="BT35" s="1" a="1"/>
  <c r="BT35" s="1"/>
  <c r="CB91"/>
  <c r="CB5" s="1"/>
  <c r="BM5"/>
  <c r="BM38" s="1"/>
  <c r="I38" s="1"/>
  <c r="CP35" a="1"/>
  <c r="CP35" s="1"/>
  <c r="E37"/>
  <c r="F2" s="1"/>
  <c r="BH34"/>
  <c r="BH39"/>
  <c r="BH38"/>
  <c r="BZ34" a="1"/>
  <c r="BZ34" s="1"/>
  <c r="BZ36" s="1"/>
  <c r="BZ38"/>
  <c r="BZ35" a="1"/>
  <c r="BZ35" s="1"/>
  <c r="BZ39" a="1"/>
  <c r="BZ39" s="1"/>
  <c r="BZ37"/>
  <c r="CQ151"/>
  <c r="CQ8" s="1"/>
  <c r="CJ8"/>
  <c r="CA111"/>
  <c r="CA6" s="1"/>
  <c r="CH111"/>
  <c r="BT111"/>
  <c r="BT6" s="1"/>
  <c r="CB111"/>
  <c r="CB6" s="1"/>
  <c r="CB39" s="1" a="1"/>
  <c r="CB39" s="1"/>
  <c r="BM6"/>
  <c r="BO35" a="1"/>
  <c r="BO35" s="1"/>
  <c r="K35" s="1"/>
  <c r="BO38"/>
  <c r="K38" s="1"/>
  <c r="BO37"/>
  <c r="K37" s="1"/>
  <c r="BO34" a="1"/>
  <c r="BO34" s="1"/>
  <c r="BO39" a="1"/>
  <c r="BO39" s="1"/>
  <c r="K39" s="1"/>
  <c r="CB37"/>
  <c r="CY5"/>
  <c r="BW5"/>
  <c r="AP5"/>
  <c r="CR5"/>
  <c r="BP5"/>
  <c r="BG5"/>
  <c r="CD5"/>
  <c r="CK5"/>
  <c r="AT36"/>
  <c r="CJ10" i="57"/>
  <c r="CQ191"/>
  <c r="CQ10" s="1"/>
  <c r="CU111"/>
  <c r="CU6" s="1"/>
  <c r="CP111"/>
  <c r="CP6" s="1"/>
  <c r="CX111"/>
  <c r="CX6" s="1"/>
  <c r="CI6"/>
  <c r="BH39"/>
  <c r="BH38"/>
  <c r="E37"/>
  <c r="F2" s="1"/>
  <c r="BH34"/>
  <c r="AT38"/>
  <c r="AT39" a="1"/>
  <c r="AT39" s="1"/>
  <c r="AT37"/>
  <c r="AT35" a="1"/>
  <c r="AT35" s="1"/>
  <c r="AT34" a="1"/>
  <c r="AT34" s="1"/>
  <c r="CO191"/>
  <c r="CO10" s="1"/>
  <c r="CV191"/>
  <c r="CV10" s="1"/>
  <c r="CH10"/>
  <c r="CW191"/>
  <c r="CW10" s="1"/>
  <c r="CJ7"/>
  <c r="CQ131"/>
  <c r="CQ7" s="1"/>
  <c r="CJ6"/>
  <c r="CQ111"/>
  <c r="CQ6" s="1"/>
  <c r="BZ37"/>
  <c r="CU151"/>
  <c r="CU8" s="1"/>
  <c r="CP151"/>
  <c r="CP8" s="1"/>
  <c r="CX151"/>
  <c r="CX8" s="1"/>
  <c r="CI8"/>
  <c r="CU191"/>
  <c r="CU10" s="1"/>
  <c r="CP191"/>
  <c r="CP10" s="1"/>
  <c r="CX191"/>
  <c r="CX10" s="1"/>
  <c r="CI10"/>
  <c r="AV37"/>
  <c r="AZ36"/>
  <c r="AV34" a="1"/>
  <c r="AV34" s="1"/>
  <c r="AY36"/>
  <c r="CO111"/>
  <c r="CO6" s="1"/>
  <c r="CV111"/>
  <c r="CV6" s="1"/>
  <c r="CH6"/>
  <c r="CW111"/>
  <c r="CW6" s="1"/>
  <c r="AU38"/>
  <c r="AU34" a="1"/>
  <c r="AU34" s="1"/>
  <c r="AU39" a="1"/>
  <c r="AU39" s="1"/>
  <c r="AU35" a="1"/>
  <c r="AU35" s="1"/>
  <c r="AU37"/>
  <c r="CO151"/>
  <c r="CO8" s="1"/>
  <c r="CV151"/>
  <c r="CV8" s="1"/>
  <c r="CH8"/>
  <c r="CW151"/>
  <c r="CW8" s="1"/>
  <c r="CJ9"/>
  <c r="CQ171"/>
  <c r="CQ9" s="1"/>
  <c r="CU131"/>
  <c r="CU7" s="1"/>
  <c r="CP131"/>
  <c r="CP7" s="1"/>
  <c r="CI7"/>
  <c r="CX131"/>
  <c r="CX7" s="1"/>
  <c r="CJ8"/>
  <c r="CQ151"/>
  <c r="CQ8" s="1"/>
  <c r="CO71"/>
  <c r="CO4" s="1"/>
  <c r="CV71"/>
  <c r="CV4" s="1"/>
  <c r="CW71"/>
  <c r="CW4" s="1"/>
  <c r="CH4"/>
  <c r="CJ5"/>
  <c r="CQ91"/>
  <c r="CQ5" s="1"/>
  <c r="CU171"/>
  <c r="CU9" s="1"/>
  <c r="CP171"/>
  <c r="CP9" s="1"/>
  <c r="CX171"/>
  <c r="CX9" s="1"/>
  <c r="CI9"/>
  <c r="CU91"/>
  <c r="CU5" s="1"/>
  <c r="CP91"/>
  <c r="CP5" s="1"/>
  <c r="CX91"/>
  <c r="CX5" s="1"/>
  <c r="CI5"/>
  <c r="CQ71"/>
  <c r="CQ4" s="1"/>
  <c r="CJ4"/>
  <c r="CD3"/>
  <c r="CR3"/>
  <c r="BP3"/>
  <c r="CY3"/>
  <c r="BW3"/>
  <c r="AP3"/>
  <c r="BG3"/>
  <c r="CK3"/>
  <c r="BI36"/>
  <c r="E36" s="1"/>
  <c r="E34"/>
  <c r="CU71"/>
  <c r="CU4" s="1"/>
  <c r="CP71"/>
  <c r="CP4" s="1"/>
  <c r="CX71"/>
  <c r="CX4" s="1"/>
  <c r="CI4"/>
  <c r="CN111" i="56"/>
  <c r="CN6" s="1"/>
  <c r="CG6"/>
  <c r="CA91"/>
  <c r="CA5" s="1"/>
  <c r="CH91"/>
  <c r="BT91"/>
  <c r="BT5" s="1"/>
  <c r="CB91"/>
  <c r="CB5" s="1"/>
  <c r="BM5"/>
  <c r="E37"/>
  <c r="F2" s="1"/>
  <c r="BH39"/>
  <c r="BH34"/>
  <c r="BH38"/>
  <c r="BW4"/>
  <c r="AP4"/>
  <c r="CK4"/>
  <c r="CD4"/>
  <c r="CY4"/>
  <c r="BP4"/>
  <c r="CR4"/>
  <c r="BG4"/>
  <c r="CN171"/>
  <c r="CN9" s="1"/>
  <c r="CG9"/>
  <c r="CA131"/>
  <c r="CA7" s="1"/>
  <c r="CH131"/>
  <c r="BT131"/>
  <c r="BT7" s="1"/>
  <c r="CB131"/>
  <c r="CB7" s="1"/>
  <c r="BM7"/>
  <c r="CU171"/>
  <c r="CU9" s="1"/>
  <c r="CX171"/>
  <c r="CX9" s="1"/>
  <c r="CP171"/>
  <c r="CP9" s="1"/>
  <c r="CI9"/>
  <c r="CU131"/>
  <c r="CU7" s="1"/>
  <c r="CX131"/>
  <c r="CX7" s="1"/>
  <c r="CP131"/>
  <c r="CP7" s="1"/>
  <c r="CI7"/>
  <c r="CO171"/>
  <c r="CO9" s="1"/>
  <c r="CV171"/>
  <c r="CV9" s="1"/>
  <c r="CW171"/>
  <c r="CW9" s="1"/>
  <c r="CH9"/>
  <c r="CO151"/>
  <c r="CO8" s="1"/>
  <c r="CV151"/>
  <c r="CV8" s="1"/>
  <c r="CW151"/>
  <c r="CW8" s="1"/>
  <c r="CH8"/>
  <c r="CO111"/>
  <c r="CO6" s="1"/>
  <c r="CW111"/>
  <c r="CW6" s="1"/>
  <c r="CH6"/>
  <c r="CV111"/>
  <c r="CV6" s="1"/>
  <c r="CN131"/>
  <c r="CN7" s="1"/>
  <c r="CG7"/>
  <c r="CO191"/>
  <c r="CO10" s="1"/>
  <c r="CW191"/>
  <c r="CW10" s="1"/>
  <c r="CH10"/>
  <c r="CV191"/>
  <c r="CV10" s="1"/>
  <c r="CU151"/>
  <c r="CU8" s="1"/>
  <c r="CX151"/>
  <c r="CX8" s="1"/>
  <c r="CP151"/>
  <c r="CP8" s="1"/>
  <c r="CI8"/>
  <c r="CU111"/>
  <c r="CU6" s="1"/>
  <c r="CX111"/>
  <c r="CX6" s="1"/>
  <c r="CP111"/>
  <c r="CP6" s="1"/>
  <c r="CI6"/>
  <c r="CU91"/>
  <c r="CU5" s="1"/>
  <c r="CX91"/>
  <c r="CX5" s="1"/>
  <c r="CP91"/>
  <c r="CP5" s="1"/>
  <c r="CI5"/>
  <c r="CU191"/>
  <c r="CU10" s="1"/>
  <c r="CX191"/>
  <c r="CX10" s="1"/>
  <c r="CP191"/>
  <c r="CP10" s="1"/>
  <c r="CI10"/>
  <c r="E34"/>
  <c r="BI36"/>
  <c r="E36" s="1"/>
  <c r="CY7"/>
  <c r="BP7"/>
  <c r="BG7"/>
  <c r="CD7"/>
  <c r="BW7"/>
  <c r="AP7"/>
  <c r="CR7"/>
  <c r="CK7"/>
  <c r="CY5"/>
  <c r="CD5"/>
  <c r="BW5"/>
  <c r="AP5"/>
  <c r="CR5"/>
  <c r="BP5"/>
  <c r="BG5"/>
  <c r="CK5"/>
  <c r="CN91"/>
  <c r="CN5" s="1"/>
  <c r="CG5"/>
  <c r="CN191"/>
  <c r="CN10" s="1"/>
  <c r="CG10"/>
  <c r="CR10"/>
  <c r="BP10"/>
  <c r="BG10"/>
  <c r="CK10"/>
  <c r="CD10"/>
  <c r="CY10"/>
  <c r="AP10"/>
  <c r="BW10"/>
  <c r="AP8"/>
  <c r="BP8"/>
  <c r="CD8"/>
  <c r="CY8"/>
  <c r="BW8"/>
  <c r="CR8"/>
  <c r="BG8"/>
  <c r="CK8"/>
  <c r="CY6"/>
  <c r="BW6"/>
  <c r="AP6"/>
  <c r="CD6"/>
  <c r="CR6"/>
  <c r="BP6"/>
  <c r="BG6"/>
  <c r="CK6"/>
  <c r="CR9"/>
  <c r="CK9"/>
  <c r="CY9"/>
  <c r="BW9"/>
  <c r="AP9"/>
  <c r="BP9"/>
  <c r="BG9"/>
  <c r="CD9"/>
  <c r="BA36"/>
  <c r="BB36"/>
  <c r="AZ36"/>
  <c r="E37" i="55"/>
  <c r="F2" s="1"/>
  <c r="BB36"/>
  <c r="BH39"/>
  <c r="CD4"/>
  <c r="BW4"/>
  <c r="AP4"/>
  <c r="AZ36"/>
  <c r="AQ49"/>
  <c r="BU51" s="1"/>
  <c r="BU3" s="1"/>
  <c r="BN3"/>
  <c r="CJ6"/>
  <c r="CQ111"/>
  <c r="CQ6" s="1"/>
  <c r="CO131"/>
  <c r="CO7" s="1"/>
  <c r="CV131"/>
  <c r="CV7" s="1"/>
  <c r="CH7"/>
  <c r="CW131"/>
  <c r="CW7" s="1"/>
  <c r="CU91"/>
  <c r="CU5" s="1"/>
  <c r="CP91"/>
  <c r="CP5" s="1"/>
  <c r="CX91"/>
  <c r="CX5" s="1"/>
  <c r="CI5"/>
  <c r="CI191"/>
  <c r="BU191"/>
  <c r="BU10" s="1"/>
  <c r="BN10"/>
  <c r="BZ191"/>
  <c r="BZ10" s="1"/>
  <c r="CC191"/>
  <c r="CC10" s="1"/>
  <c r="AQ189"/>
  <c r="CJ8"/>
  <c r="CQ151"/>
  <c r="CQ8" s="1"/>
  <c r="CU171"/>
  <c r="CU9" s="1"/>
  <c r="CP171"/>
  <c r="CP9" s="1"/>
  <c r="CI9"/>
  <c r="CX171"/>
  <c r="CX9" s="1"/>
  <c r="CQ191"/>
  <c r="CQ10" s="1"/>
  <c r="CJ10"/>
  <c r="CR3"/>
  <c r="BP3"/>
  <c r="BG3"/>
  <c r="CY3"/>
  <c r="BW3"/>
  <c r="AP3"/>
  <c r="CD3"/>
  <c r="CK3"/>
  <c r="CQ171"/>
  <c r="CQ9" s="1"/>
  <c r="CJ9"/>
  <c r="CO171"/>
  <c r="CO9" s="1"/>
  <c r="CV171"/>
  <c r="CV9" s="1"/>
  <c r="CH9"/>
  <c r="CW171"/>
  <c r="CW9" s="1"/>
  <c r="BI36"/>
  <c r="E36" s="1"/>
  <c r="E34"/>
  <c r="AR89"/>
  <c r="CJ91"/>
  <c r="BV91"/>
  <c r="BV5" s="1"/>
  <c r="BO5"/>
  <c r="BM71"/>
  <c r="AT4"/>
  <c r="AT39" s="1" a="1"/>
  <c r="AT39" s="1"/>
  <c r="CU111"/>
  <c r="CU6" s="1"/>
  <c r="CP111"/>
  <c r="CP6" s="1"/>
  <c r="CX111"/>
  <c r="CX6" s="1"/>
  <c r="CI6"/>
  <c r="BA36"/>
  <c r="CU131"/>
  <c r="CU7" s="1"/>
  <c r="CP131"/>
  <c r="CP7" s="1"/>
  <c r="CX131"/>
  <c r="CX7" s="1"/>
  <c r="CI7"/>
  <c r="AU4"/>
  <c r="AU34" s="1" a="1"/>
  <c r="AU34" s="1"/>
  <c r="BN71"/>
  <c r="AS3"/>
  <c r="BL51"/>
  <c r="BZ51" s="1"/>
  <c r="BZ3" s="1"/>
  <c r="AU38"/>
  <c r="CQ131"/>
  <c r="CQ7" s="1"/>
  <c r="CJ7"/>
  <c r="BL71"/>
  <c r="AS4"/>
  <c r="CO91"/>
  <c r="CO5" s="1"/>
  <c r="CV91"/>
  <c r="CV5" s="1"/>
  <c r="CH5"/>
  <c r="CW91"/>
  <c r="CW5" s="1"/>
  <c r="BO71"/>
  <c r="AV4"/>
  <c r="BO51"/>
  <c r="CC51" s="1"/>
  <c r="CC3" s="1"/>
  <c r="AV3"/>
  <c r="AT38"/>
  <c r="AT37"/>
  <c r="AT35" a="1"/>
  <c r="AT35" s="1"/>
  <c r="AT34" a="1"/>
  <c r="AT34" s="1"/>
  <c r="CU151"/>
  <c r="CU8" s="1"/>
  <c r="CP151"/>
  <c r="CP8" s="1"/>
  <c r="CX151"/>
  <c r="CX8" s="1"/>
  <c r="CI8"/>
  <c r="AY36"/>
  <c r="I33" i="49"/>
  <c r="J33"/>
  <c r="K33"/>
  <c r="I33" i="40"/>
  <c r="J33"/>
  <c r="K33"/>
  <c r="CN51" i="62" l="1"/>
  <c r="CN3" s="1"/>
  <c r="CX51"/>
  <c r="CX3" s="1"/>
  <c r="CU51"/>
  <c r="CU3" s="1"/>
  <c r="AU39" i="56" a="1"/>
  <c r="AU39" s="1"/>
  <c r="AU37"/>
  <c r="AU34" a="1"/>
  <c r="AU34" s="1"/>
  <c r="AU35" i="55" a="1"/>
  <c r="AU35" s="1"/>
  <c r="AU37"/>
  <c r="BT51"/>
  <c r="BT3" s="1"/>
  <c r="CB51"/>
  <c r="CB3" s="1"/>
  <c r="BN34" i="57" a="1"/>
  <c r="BN34" s="1"/>
  <c r="J34" s="1"/>
  <c r="BN35" a="1"/>
  <c r="BN35" s="1"/>
  <c r="J35" s="1"/>
  <c r="BN38"/>
  <c r="J38" s="1"/>
  <c r="AU36"/>
  <c r="AQ49"/>
  <c r="BU51" s="1"/>
  <c r="BU3" s="1"/>
  <c r="BU38" s="1"/>
  <c r="BS35" a="1"/>
  <c r="BS35" s="1"/>
  <c r="CC51"/>
  <c r="CC3" s="1"/>
  <c r="CC37" s="1"/>
  <c r="BS38"/>
  <c r="BS39" a="1"/>
  <c r="BS39" s="1"/>
  <c r="BZ39" a="1"/>
  <c r="BZ39" s="1"/>
  <c r="BS37"/>
  <c r="BU39" a="1"/>
  <c r="BU39" s="1"/>
  <c r="CC39" a="1"/>
  <c r="CC39" s="1"/>
  <c r="CC34" a="1"/>
  <c r="CC34" s="1"/>
  <c r="CC38"/>
  <c r="CC36" s="1"/>
  <c r="CC35" a="1"/>
  <c r="CC35" s="1"/>
  <c r="BM3"/>
  <c r="CH51"/>
  <c r="CA51"/>
  <c r="CA3" s="1"/>
  <c r="CB51"/>
  <c r="CB3" s="1"/>
  <c r="BT51"/>
  <c r="BT3" s="1"/>
  <c r="AV39" a="1"/>
  <c r="AV39" s="1"/>
  <c r="AV38"/>
  <c r="AV36" s="1"/>
  <c r="BZ35" a="1"/>
  <c r="BZ35" s="1"/>
  <c r="BZ34" a="1"/>
  <c r="BZ34" s="1"/>
  <c r="BN37"/>
  <c r="J37" s="1"/>
  <c r="BN39" a="1"/>
  <c r="BN39" s="1"/>
  <c r="J39" s="1"/>
  <c r="AR49"/>
  <c r="BO3"/>
  <c r="CJ51"/>
  <c r="BV51"/>
  <c r="BV3" s="1"/>
  <c r="BL37"/>
  <c r="H37" s="1"/>
  <c r="BL35" a="1"/>
  <c r="BL35" s="1"/>
  <c r="H35" s="1"/>
  <c r="BL38"/>
  <c r="H38" s="1"/>
  <c r="BL39" a="1"/>
  <c r="BL39" s="1"/>
  <c r="H39" s="1"/>
  <c r="BL34" a="1"/>
  <c r="BL34" s="1"/>
  <c r="BS36"/>
  <c r="AT36"/>
  <c r="BN4" i="56"/>
  <c r="CC71"/>
  <c r="CC4" s="1"/>
  <c r="AQ69"/>
  <c r="BT71" s="1"/>
  <c r="BT4" s="1"/>
  <c r="BZ71"/>
  <c r="BZ4" s="1"/>
  <c r="BU71"/>
  <c r="BU4" s="1"/>
  <c r="AV38"/>
  <c r="AV34" a="1"/>
  <c r="AV34" s="1"/>
  <c r="AV37"/>
  <c r="AV39" a="1"/>
  <c r="AV39" s="1"/>
  <c r="AS35" a="1"/>
  <c r="AS35" s="1"/>
  <c r="AS34" a="1"/>
  <c r="AS34" s="1"/>
  <c r="AS38"/>
  <c r="AS39" a="1"/>
  <c r="AS39" s="1"/>
  <c r="AS37"/>
  <c r="BO4"/>
  <c r="AR69"/>
  <c r="CH71" s="1"/>
  <c r="BV71"/>
  <c r="BV4" s="1"/>
  <c r="AU36"/>
  <c r="CB71"/>
  <c r="CB4" s="1"/>
  <c r="CG71"/>
  <c r="BL4"/>
  <c r="BS71"/>
  <c r="BS4" s="1"/>
  <c r="AV35" a="1"/>
  <c r="AV35" s="1"/>
  <c r="CJ3"/>
  <c r="CA51"/>
  <c r="CA3" s="1"/>
  <c r="CA35" s="1" a="1"/>
  <c r="CA35" s="1"/>
  <c r="CH51"/>
  <c r="BM3"/>
  <c r="CB51"/>
  <c r="CB3" s="1"/>
  <c r="BO37"/>
  <c r="K37" s="1"/>
  <c r="BO35" a="1"/>
  <c r="BO35" s="1"/>
  <c r="K35" s="1"/>
  <c r="BZ51"/>
  <c r="BZ3" s="1"/>
  <c r="BN3"/>
  <c r="AQ49"/>
  <c r="CN51" s="1"/>
  <c r="CN3" s="1"/>
  <c r="CC51"/>
  <c r="CC3" s="1"/>
  <c r="CI51"/>
  <c r="AT35" a="1"/>
  <c r="AT35" s="1"/>
  <c r="AT34" a="1"/>
  <c r="AT34" s="1"/>
  <c r="AT38"/>
  <c r="CB35" a="1"/>
  <c r="CB35" s="1"/>
  <c r="CB37"/>
  <c r="AT39" a="1"/>
  <c r="AT39" s="1"/>
  <c r="BN36" i="66"/>
  <c r="J36" s="1"/>
  <c r="CO38"/>
  <c r="CU38"/>
  <c r="CJ39" a="1"/>
  <c r="CJ39" s="1"/>
  <c r="CU34" a="1"/>
  <c r="CU34" s="1"/>
  <c r="CU36" s="1"/>
  <c r="CH34" a="1"/>
  <c r="CH34" s="1"/>
  <c r="CJ37"/>
  <c r="CG38"/>
  <c r="CU51" i="65"/>
  <c r="CU3" s="1"/>
  <c r="CU37" s="1"/>
  <c r="CB36"/>
  <c r="BS36" i="64"/>
  <c r="BU36"/>
  <c r="CH35" i="62" a="1"/>
  <c r="CH35" s="1"/>
  <c r="CH34" a="1"/>
  <c r="CH34" s="1"/>
  <c r="CH39" a="1"/>
  <c r="CH39" s="1"/>
  <c r="CX38" i="58"/>
  <c r="CX36" s="1"/>
  <c r="CP39" a="1"/>
  <c r="CP39" s="1"/>
  <c r="BU36"/>
  <c r="CX34" a="1"/>
  <c r="CX34" s="1"/>
  <c r="CP37"/>
  <c r="CC36"/>
  <c r="H34" i="66"/>
  <c r="BV37"/>
  <c r="CQ34" a="1"/>
  <c r="CQ34" s="1"/>
  <c r="BS39" a="1"/>
  <c r="BS39" s="1"/>
  <c r="CX37"/>
  <c r="CW39" a="1"/>
  <c r="CW39" s="1"/>
  <c r="CX34" a="1"/>
  <c r="CX34" s="1"/>
  <c r="CX38"/>
  <c r="BU34" i="65" a="1"/>
  <c r="BU34" s="1"/>
  <c r="AL18" s="1"/>
  <c r="AJ6" s="1"/>
  <c r="BU37"/>
  <c r="BU39" a="1"/>
  <c r="BU39" s="1"/>
  <c r="CI3"/>
  <c r="CI35" s="1" a="1"/>
  <c r="CI35" s="1"/>
  <c r="BV35" a="1"/>
  <c r="BV35" s="1"/>
  <c r="BZ36"/>
  <c r="CC36"/>
  <c r="CA36"/>
  <c r="CB36" i="64"/>
  <c r="CC36"/>
  <c r="CC36" i="63"/>
  <c r="CB36"/>
  <c r="AT36" i="60"/>
  <c r="AV36"/>
  <c r="CB36" i="62"/>
  <c r="CH36"/>
  <c r="BZ36"/>
  <c r="CQ39" i="66" a="1"/>
  <c r="CQ39" s="1"/>
  <c r="CN35" a="1"/>
  <c r="CN35" s="1"/>
  <c r="CO34" a="1"/>
  <c r="CO34" s="1"/>
  <c r="CU37"/>
  <c r="CU39" a="1"/>
  <c r="CU39" s="1"/>
  <c r="CH35" a="1"/>
  <c r="CH35" s="1"/>
  <c r="CG34" a="1"/>
  <c r="CG34" s="1"/>
  <c r="CG36" s="1"/>
  <c r="CG39" a="1"/>
  <c r="CG39" s="1"/>
  <c r="CW34" a="1"/>
  <c r="CW34" s="1"/>
  <c r="CQ37"/>
  <c r="J34"/>
  <c r="CI38"/>
  <c r="CN39" a="1"/>
  <c r="CN39" s="1"/>
  <c r="BS37"/>
  <c r="CQ35" a="1"/>
  <c r="CQ35" s="1"/>
  <c r="CO37"/>
  <c r="BS34" a="1"/>
  <c r="BS34" s="1"/>
  <c r="AJ18" s="1"/>
  <c r="AJ8" s="1"/>
  <c r="CW38"/>
  <c r="CN34" a="1"/>
  <c r="CN34" s="1"/>
  <c r="BU34" a="1"/>
  <c r="BU34" s="1"/>
  <c r="BU37"/>
  <c r="BU38"/>
  <c r="BU35" a="1"/>
  <c r="BU35" s="1"/>
  <c r="BU39" a="1"/>
  <c r="BU39" s="1"/>
  <c r="BT36"/>
  <c r="AK18"/>
  <c r="AJ7" s="1"/>
  <c r="CB36"/>
  <c r="BV35" a="1"/>
  <c r="BV35" s="1"/>
  <c r="CI34" a="1"/>
  <c r="CI34" s="1"/>
  <c r="CI39" a="1"/>
  <c r="CI39" s="1"/>
  <c r="BV39" a="1"/>
  <c r="BV39" s="1"/>
  <c r="CP34" a="1"/>
  <c r="CP34" s="1"/>
  <c r="CP39" a="1"/>
  <c r="CP39" s="1"/>
  <c r="CH39" a="1"/>
  <c r="CH39" s="1"/>
  <c r="CH38"/>
  <c r="BS38"/>
  <c r="CV38"/>
  <c r="CJ36"/>
  <c r="CI37"/>
  <c r="CW37"/>
  <c r="CN38"/>
  <c r="CN36" s="1"/>
  <c r="K34"/>
  <c r="BO36"/>
  <c r="K36" s="1"/>
  <c r="CP38"/>
  <c r="CV37"/>
  <c r="BV34" a="1"/>
  <c r="BV34" s="1"/>
  <c r="CV34" a="1"/>
  <c r="CV34" s="1"/>
  <c r="CQ36"/>
  <c r="BN36" i="65"/>
  <c r="J36" s="1"/>
  <c r="J34"/>
  <c r="CU34" a="1"/>
  <c r="CU34" s="1"/>
  <c r="CU38"/>
  <c r="CU35" a="1"/>
  <c r="CU35" s="1"/>
  <c r="H34"/>
  <c r="BL36"/>
  <c r="H36" s="1"/>
  <c r="BS39" a="1"/>
  <c r="BS39" s="1"/>
  <c r="BS38"/>
  <c r="BS37"/>
  <c r="BS35" a="1"/>
  <c r="BS35" s="1"/>
  <c r="BS34" a="1"/>
  <c r="BS34" s="1"/>
  <c r="BT36"/>
  <c r="AK18"/>
  <c r="AJ7" s="1"/>
  <c r="CQ51"/>
  <c r="CQ3" s="1"/>
  <c r="CJ3"/>
  <c r="CP39" a="1"/>
  <c r="CP39" s="1"/>
  <c r="CP34" a="1"/>
  <c r="CP34" s="1"/>
  <c r="CP38"/>
  <c r="CP35" a="1"/>
  <c r="CP35" s="1"/>
  <c r="CP37"/>
  <c r="CN51"/>
  <c r="CN3" s="1"/>
  <c r="CG3"/>
  <c r="CW34" a="1"/>
  <c r="CW34" s="1"/>
  <c r="CW39" a="1"/>
  <c r="CW39" s="1"/>
  <c r="CW38"/>
  <c r="CW35" a="1"/>
  <c r="CW35" s="1"/>
  <c r="CW37"/>
  <c r="BV36"/>
  <c r="AM18"/>
  <c r="CH38"/>
  <c r="CH37"/>
  <c r="CH35" a="1"/>
  <c r="CH35" s="1"/>
  <c r="CH39" a="1"/>
  <c r="CH39" s="1"/>
  <c r="CH34" a="1"/>
  <c r="CH34" s="1"/>
  <c r="CI38"/>
  <c r="CI37"/>
  <c r="CI39" a="1"/>
  <c r="CI39" s="1"/>
  <c r="CI34" a="1"/>
  <c r="CI34" s="1"/>
  <c r="CO35" a="1"/>
  <c r="CO35" s="1"/>
  <c r="CO38"/>
  <c r="CO37"/>
  <c r="CO39" a="1"/>
  <c r="CO39" s="1"/>
  <c r="CO34" a="1"/>
  <c r="CO34" s="1"/>
  <c r="BO36"/>
  <c r="K36" s="1"/>
  <c r="K34"/>
  <c r="BU36"/>
  <c r="BM36"/>
  <c r="I36" s="1"/>
  <c r="CX51"/>
  <c r="CX3" s="1"/>
  <c r="CV51"/>
  <c r="CV3" s="1"/>
  <c r="CU71" i="64"/>
  <c r="CU4" s="1"/>
  <c r="CU39" s="1" a="1"/>
  <c r="CU39" s="1"/>
  <c r="CX71"/>
  <c r="CX4" s="1"/>
  <c r="CX39" s="1" a="1"/>
  <c r="CX39" s="1"/>
  <c r="CP71"/>
  <c r="CP4" s="1"/>
  <c r="CP38" s="1"/>
  <c r="CI4"/>
  <c r="CI39" s="1" a="1"/>
  <c r="CI39" s="1"/>
  <c r="CO38"/>
  <c r="CO71"/>
  <c r="CO4" s="1"/>
  <c r="CO37" s="1"/>
  <c r="CH4"/>
  <c r="CV71"/>
  <c r="CV4" s="1"/>
  <c r="CV34" s="1" a="1"/>
  <c r="CV34" s="1"/>
  <c r="CW71"/>
  <c r="CW4" s="1"/>
  <c r="CW34" s="1" a="1"/>
  <c r="CW34" s="1"/>
  <c r="CG39" a="1"/>
  <c r="CG39" s="1"/>
  <c r="CG38"/>
  <c r="CG37"/>
  <c r="CG35" a="1"/>
  <c r="CG35" s="1"/>
  <c r="CG34" a="1"/>
  <c r="CG34" s="1"/>
  <c r="CQ71"/>
  <c r="CQ4" s="1"/>
  <c r="CJ4"/>
  <c r="CI34" a="1"/>
  <c r="CI34" s="1"/>
  <c r="CH38"/>
  <c r="CH37"/>
  <c r="CH35" a="1"/>
  <c r="CH35" s="1"/>
  <c r="CH39" a="1"/>
  <c r="CH39" s="1"/>
  <c r="CH34" a="1"/>
  <c r="CH34" s="1"/>
  <c r="CN39" a="1"/>
  <c r="CN39" s="1"/>
  <c r="CN38"/>
  <c r="CN37"/>
  <c r="CN35" a="1"/>
  <c r="CN35" s="1"/>
  <c r="CN34" a="1"/>
  <c r="CN34" s="1"/>
  <c r="CP39" a="1"/>
  <c r="CP39" s="1"/>
  <c r="CP37"/>
  <c r="CP35" a="1"/>
  <c r="CP35" s="1"/>
  <c r="AM18"/>
  <c r="BV36"/>
  <c r="BM36"/>
  <c r="I36" s="1"/>
  <c r="I34"/>
  <c r="CV35" a="1"/>
  <c r="CV35" s="1"/>
  <c r="CV38"/>
  <c r="BT36"/>
  <c r="AK18"/>
  <c r="AJ7" s="1"/>
  <c r="BN36"/>
  <c r="J36" s="1"/>
  <c r="CO35" i="63" a="1"/>
  <c r="CO35" s="1"/>
  <c r="CO38"/>
  <c r="CO37"/>
  <c r="CO39" a="1"/>
  <c r="CO39" s="1"/>
  <c r="CO34" a="1"/>
  <c r="CO34" s="1"/>
  <c r="AJ18"/>
  <c r="AJ8" s="1"/>
  <c r="BS36"/>
  <c r="CX38"/>
  <c r="CX37"/>
  <c r="CX35" a="1"/>
  <c r="CX35" s="1"/>
  <c r="CX39" a="1"/>
  <c r="CX39" s="1"/>
  <c r="CX34" a="1"/>
  <c r="CX34" s="1"/>
  <c r="BT36"/>
  <c r="AK18"/>
  <c r="AJ7" s="1"/>
  <c r="BO36"/>
  <c r="K36" s="1"/>
  <c r="K34"/>
  <c r="CV35" a="1"/>
  <c r="CV35" s="1"/>
  <c r="CV38"/>
  <c r="CV39" a="1"/>
  <c r="CV39" s="1"/>
  <c r="CV37"/>
  <c r="CV34" a="1"/>
  <c r="CV34" s="1"/>
  <c r="BV36"/>
  <c r="AM18"/>
  <c r="CN51"/>
  <c r="CN3" s="1"/>
  <c r="CG3"/>
  <c r="CW34" a="1"/>
  <c r="CW34" s="1"/>
  <c r="CW39" a="1"/>
  <c r="CW39" s="1"/>
  <c r="CW37"/>
  <c r="CW35" a="1"/>
  <c r="CW35" s="1"/>
  <c r="CW38"/>
  <c r="I34"/>
  <c r="BM36"/>
  <c r="I36" s="1"/>
  <c r="CI38"/>
  <c r="CI37"/>
  <c r="CI34" a="1"/>
  <c r="CI34" s="1"/>
  <c r="CI35" a="1"/>
  <c r="CI35" s="1"/>
  <c r="CI39" a="1"/>
  <c r="CI39" s="1"/>
  <c r="BL36"/>
  <c r="H36" s="1"/>
  <c r="H34"/>
  <c r="CQ35" a="1"/>
  <c r="CQ35" s="1"/>
  <c r="CQ39" a="1"/>
  <c r="CQ39" s="1"/>
  <c r="CQ37"/>
  <c r="CQ34" a="1"/>
  <c r="CQ34" s="1"/>
  <c r="CQ38"/>
  <c r="CJ35" a="1"/>
  <c r="CJ35" s="1"/>
  <c r="CJ39" a="1"/>
  <c r="CJ39" s="1"/>
  <c r="CJ38"/>
  <c r="CJ34" a="1"/>
  <c r="CJ34" s="1"/>
  <c r="CJ37"/>
  <c r="CU39" a="1"/>
  <c r="CU39" s="1"/>
  <c r="CU38"/>
  <c r="CU37"/>
  <c r="CU35" a="1"/>
  <c r="CU35" s="1"/>
  <c r="CU34" a="1"/>
  <c r="CU34" s="1"/>
  <c r="CP39" a="1"/>
  <c r="CP39" s="1"/>
  <c r="CP34" a="1"/>
  <c r="CP34" s="1"/>
  <c r="CP37"/>
  <c r="CP38"/>
  <c r="CP35" a="1"/>
  <c r="CP35" s="1"/>
  <c r="CH38"/>
  <c r="CH37"/>
  <c r="CH35" a="1"/>
  <c r="CH35" s="1"/>
  <c r="CH39" a="1"/>
  <c r="CH39" s="1"/>
  <c r="CH34" a="1"/>
  <c r="CH34" s="1"/>
  <c r="CA36"/>
  <c r="BZ36"/>
  <c r="CQ71" i="62"/>
  <c r="CQ4" s="1"/>
  <c r="CQ38" s="1"/>
  <c r="CJ4"/>
  <c r="CJ39" s="1" a="1"/>
  <c r="CJ39" s="1"/>
  <c r="CQ37"/>
  <c r="CO35" a="1"/>
  <c r="CO35" s="1"/>
  <c r="CO34" a="1"/>
  <c r="CO34" s="1"/>
  <c r="CO37"/>
  <c r="CO39" a="1"/>
  <c r="CO39" s="1"/>
  <c r="CO38"/>
  <c r="CW34" a="1"/>
  <c r="CW34" s="1"/>
  <c r="CW38"/>
  <c r="CW37"/>
  <c r="CW35" a="1"/>
  <c r="CW35" s="1"/>
  <c r="CW39" a="1"/>
  <c r="CW39" s="1"/>
  <c r="BS35" a="1"/>
  <c r="BS35" s="1"/>
  <c r="BS39" a="1"/>
  <c r="BS39" s="1"/>
  <c r="BS38"/>
  <c r="BS37"/>
  <c r="BS34" a="1"/>
  <c r="BS34" s="1"/>
  <c r="CJ35" a="1"/>
  <c r="CJ35" s="1"/>
  <c r="CJ38"/>
  <c r="CJ37"/>
  <c r="CN71"/>
  <c r="CN4" s="1"/>
  <c r="CG4"/>
  <c r="CG35" s="1" a="1"/>
  <c r="CG35" s="1"/>
  <c r="BN36"/>
  <c r="J36" s="1"/>
  <c r="J34"/>
  <c r="BT35" a="1"/>
  <c r="BT35" s="1"/>
  <c r="BT39" a="1"/>
  <c r="BT39" s="1"/>
  <c r="BT37"/>
  <c r="BT38"/>
  <c r="BT34" a="1"/>
  <c r="BT34" s="1"/>
  <c r="CC36"/>
  <c r="CU37"/>
  <c r="CU71"/>
  <c r="CU4" s="1"/>
  <c r="CU39" s="1" a="1"/>
  <c r="CU39" s="1"/>
  <c r="CX71"/>
  <c r="CX4" s="1"/>
  <c r="CP71"/>
  <c r="CP4" s="1"/>
  <c r="CP37" s="1"/>
  <c r="CI4"/>
  <c r="CI39" s="1" a="1"/>
  <c r="CI39" s="1"/>
  <c r="BV38"/>
  <c r="BV37"/>
  <c r="BV35" a="1"/>
  <c r="BV35" s="1"/>
  <c r="BV39" a="1"/>
  <c r="BV39" s="1"/>
  <c r="BV34" a="1"/>
  <c r="BV34" s="1"/>
  <c r="BU36"/>
  <c r="AL18"/>
  <c r="AJ6" s="1"/>
  <c r="CG39" a="1"/>
  <c r="CG39" s="1"/>
  <c r="CG34" a="1"/>
  <c r="CG34" s="1"/>
  <c r="CP35" a="1"/>
  <c r="CP35" s="1"/>
  <c r="CV71"/>
  <c r="CV4" s="1"/>
  <c r="CV37" s="1"/>
  <c r="BV38" i="60"/>
  <c r="BV37"/>
  <c r="BV35" a="1"/>
  <c r="BV35" s="1"/>
  <c r="BV34" a="1"/>
  <c r="BV34" s="1"/>
  <c r="BV39" a="1"/>
  <c r="BV39" s="1"/>
  <c r="CJ4"/>
  <c r="CQ71"/>
  <c r="CQ4" s="1"/>
  <c r="BS39" a="1"/>
  <c r="BS39" s="1"/>
  <c r="BS38"/>
  <c r="BS37"/>
  <c r="BS34" a="1"/>
  <c r="BS34" s="1"/>
  <c r="BS35" a="1"/>
  <c r="BS35" s="1"/>
  <c r="CU71"/>
  <c r="CU4" s="1"/>
  <c r="CP71"/>
  <c r="CP4" s="1"/>
  <c r="CX71"/>
  <c r="CX4" s="1"/>
  <c r="CI4"/>
  <c r="BM35" a="1"/>
  <c r="BM35" s="1"/>
  <c r="I35" s="1"/>
  <c r="BM38"/>
  <c r="I38" s="1"/>
  <c r="BM37"/>
  <c r="I37" s="1"/>
  <c r="BM39" a="1"/>
  <c r="BM39" s="1"/>
  <c r="I39" s="1"/>
  <c r="BM34" a="1"/>
  <c r="BM34" s="1"/>
  <c r="CO51"/>
  <c r="CO3" s="1"/>
  <c r="CW51"/>
  <c r="CW3" s="1"/>
  <c r="CH3"/>
  <c r="CV51"/>
  <c r="CV3" s="1"/>
  <c r="CX51"/>
  <c r="CX3" s="1"/>
  <c r="CU51"/>
  <c r="CU3" s="1"/>
  <c r="CP51"/>
  <c r="CP3" s="1"/>
  <c r="CI3"/>
  <c r="CQ51"/>
  <c r="CQ3" s="1"/>
  <c r="CJ3"/>
  <c r="CN71"/>
  <c r="CN4" s="1"/>
  <c r="CG4"/>
  <c r="CN51"/>
  <c r="CN3" s="1"/>
  <c r="CG3"/>
  <c r="BL39" a="1"/>
  <c r="BL39" s="1"/>
  <c r="H39" s="1"/>
  <c r="BL38"/>
  <c r="H38" s="1"/>
  <c r="BL37"/>
  <c r="H37" s="1"/>
  <c r="BL34" a="1"/>
  <c r="BL34" s="1"/>
  <c r="BL35" a="1"/>
  <c r="BL35" s="1"/>
  <c r="H35" s="1"/>
  <c r="CA39" a="1"/>
  <c r="CA39" s="1"/>
  <c r="CA35" a="1"/>
  <c r="CA35" s="1"/>
  <c r="CA34" a="1"/>
  <c r="CA34" s="1"/>
  <c r="CA38"/>
  <c r="CA37"/>
  <c r="CC39" a="1"/>
  <c r="CC39" s="1"/>
  <c r="CC35" a="1"/>
  <c r="CC35" s="1"/>
  <c r="CC38"/>
  <c r="CC37"/>
  <c r="CC34" a="1"/>
  <c r="CC34" s="1"/>
  <c r="BZ34" a="1"/>
  <c r="BZ34" s="1"/>
  <c r="BZ39" a="1"/>
  <c r="BZ39" s="1"/>
  <c r="BZ37"/>
  <c r="BZ38"/>
  <c r="BZ35" a="1"/>
  <c r="BZ35" s="1"/>
  <c r="AU36"/>
  <c r="AS36"/>
  <c r="CB38"/>
  <c r="CB37"/>
  <c r="CB35" a="1"/>
  <c r="CB35" s="1"/>
  <c r="CB34" a="1"/>
  <c r="CB34" s="1"/>
  <c r="CB39" a="1"/>
  <c r="CB39" s="1"/>
  <c r="BN39" a="1"/>
  <c r="BN39" s="1"/>
  <c r="J39" s="1"/>
  <c r="BN34" a="1"/>
  <c r="BN34" s="1"/>
  <c r="BN38"/>
  <c r="J38" s="1"/>
  <c r="BN35" a="1"/>
  <c r="BN35" s="1"/>
  <c r="J35" s="1"/>
  <c r="BN37"/>
  <c r="J37" s="1"/>
  <c r="BO35" a="1"/>
  <c r="BO35" s="1"/>
  <c r="K35" s="1"/>
  <c r="BO37"/>
  <c r="K37" s="1"/>
  <c r="BO34" a="1"/>
  <c r="BO34" s="1"/>
  <c r="BO39" a="1"/>
  <c r="BO39" s="1"/>
  <c r="K39" s="1"/>
  <c r="BO38"/>
  <c r="K38" s="1"/>
  <c r="CO71"/>
  <c r="CO4" s="1"/>
  <c r="CV71"/>
  <c r="CV4" s="1"/>
  <c r="CW71"/>
  <c r="CW4" s="1"/>
  <c r="CH4"/>
  <c r="BT51"/>
  <c r="BT3" s="1"/>
  <c r="BU51"/>
  <c r="BU3" s="1"/>
  <c r="CX51" i="59"/>
  <c r="CX3" s="1"/>
  <c r="CP51"/>
  <c r="CP3" s="1"/>
  <c r="CI3"/>
  <c r="CO91"/>
  <c r="CO5" s="1"/>
  <c r="CV91"/>
  <c r="CV5" s="1"/>
  <c r="CW91"/>
  <c r="CW5" s="1"/>
  <c r="CH5"/>
  <c r="BM35" a="1"/>
  <c r="BM35" s="1"/>
  <c r="I35" s="1"/>
  <c r="BM34" a="1"/>
  <c r="BM34" s="1"/>
  <c r="BM37"/>
  <c r="I37" s="1"/>
  <c r="BM39" a="1"/>
  <c r="BM39" s="1"/>
  <c r="I39" s="1"/>
  <c r="BM38"/>
  <c r="I38" s="1"/>
  <c r="CW51"/>
  <c r="CW3" s="1"/>
  <c r="CH3"/>
  <c r="CV51"/>
  <c r="CV3" s="1"/>
  <c r="CO51"/>
  <c r="CO3" s="1"/>
  <c r="AU39" a="1"/>
  <c r="AU39" s="1"/>
  <c r="AU37"/>
  <c r="AU34" a="1"/>
  <c r="AU34" s="1"/>
  <c r="AU35" a="1"/>
  <c r="AU35" s="1"/>
  <c r="AU38"/>
  <c r="BL4"/>
  <c r="CC35" a="1"/>
  <c r="CC35" s="1"/>
  <c r="AR69"/>
  <c r="CH71" s="1"/>
  <c r="BO4"/>
  <c r="CJ71"/>
  <c r="CO131"/>
  <c r="CO7" s="1"/>
  <c r="CV131"/>
  <c r="CV7" s="1"/>
  <c r="CW131"/>
  <c r="CW7" s="1"/>
  <c r="CH7"/>
  <c r="AS37"/>
  <c r="AS34" a="1"/>
  <c r="AS34" s="1"/>
  <c r="AS38"/>
  <c r="AS39" a="1"/>
  <c r="AS39" s="1"/>
  <c r="AS35" a="1"/>
  <c r="AS35" s="1"/>
  <c r="CG51"/>
  <c r="CU51" s="1"/>
  <c r="CU3" s="1"/>
  <c r="BV51"/>
  <c r="BV3" s="1"/>
  <c r="CA71"/>
  <c r="CA4" s="1"/>
  <c r="CA37" s="1"/>
  <c r="AV39" a="1"/>
  <c r="AV39" s="1"/>
  <c r="AV38"/>
  <c r="AV34" a="1"/>
  <c r="AV34" s="1"/>
  <c r="AV36" s="1"/>
  <c r="AV37"/>
  <c r="AV35" a="1"/>
  <c r="AV35" s="1"/>
  <c r="CA34" a="1"/>
  <c r="CA34" s="1"/>
  <c r="CI71"/>
  <c r="BZ71"/>
  <c r="BZ4" s="1"/>
  <c r="BZ39" s="1" a="1"/>
  <c r="BZ39" s="1"/>
  <c r="AQ69"/>
  <c r="BT71" s="1"/>
  <c r="BT4" s="1"/>
  <c r="BT34" s="1" a="1"/>
  <c r="BT34" s="1"/>
  <c r="BN4"/>
  <c r="BN38" s="1"/>
  <c r="J38" s="1"/>
  <c r="CC71"/>
  <c r="CC4" s="1"/>
  <c r="CC38" s="1"/>
  <c r="BZ34" a="1"/>
  <c r="BZ34" s="1"/>
  <c r="BZ38"/>
  <c r="BZ35" a="1"/>
  <c r="BZ35" s="1"/>
  <c r="BZ37"/>
  <c r="CQ51"/>
  <c r="CQ3" s="1"/>
  <c r="CJ3"/>
  <c r="BL39" a="1"/>
  <c r="BL39" s="1"/>
  <c r="H39" s="1"/>
  <c r="BL38"/>
  <c r="H38" s="1"/>
  <c r="BL37"/>
  <c r="H37" s="1"/>
  <c r="BL35" a="1"/>
  <c r="BL35" s="1"/>
  <c r="H35" s="1"/>
  <c r="BL34" a="1"/>
  <c r="BL34" s="1"/>
  <c r="BO35" a="1"/>
  <c r="BO35" s="1"/>
  <c r="K35" s="1"/>
  <c r="BO38"/>
  <c r="K38" s="1"/>
  <c r="BO37"/>
  <c r="K37" s="1"/>
  <c r="BO34" a="1"/>
  <c r="BO34" s="1"/>
  <c r="BO39" a="1"/>
  <c r="BO39" s="1"/>
  <c r="K39" s="1"/>
  <c r="CB71"/>
  <c r="CB4" s="1"/>
  <c r="CB34" s="1" a="1"/>
  <c r="CB34" s="1"/>
  <c r="AK18" i="58"/>
  <c r="AJ7" s="1"/>
  <c r="BL39" a="1"/>
  <c r="BL39" s="1"/>
  <c r="H39" s="1"/>
  <c r="BL38"/>
  <c r="H38" s="1"/>
  <c r="BL37"/>
  <c r="H37" s="1"/>
  <c r="BL35" a="1"/>
  <c r="BL35" s="1"/>
  <c r="H35" s="1"/>
  <c r="BL34" a="1"/>
  <c r="BL34" s="1"/>
  <c r="CJ35" a="1"/>
  <c r="CJ35" s="1"/>
  <c r="CJ34" a="1"/>
  <c r="CJ34" s="1"/>
  <c r="CJ38"/>
  <c r="CJ37"/>
  <c r="CJ39" a="1"/>
  <c r="CJ39" s="1"/>
  <c r="CO131"/>
  <c r="CO7" s="1"/>
  <c r="CW131"/>
  <c r="CW7" s="1"/>
  <c r="CV131"/>
  <c r="CV7" s="1"/>
  <c r="CH7"/>
  <c r="BV36"/>
  <c r="AM18"/>
  <c r="BM34" a="1"/>
  <c r="BM34" s="1"/>
  <c r="BT37"/>
  <c r="CB34" a="1"/>
  <c r="CB34" s="1"/>
  <c r="CB36" s="1"/>
  <c r="CP38"/>
  <c r="CA34" a="1"/>
  <c r="CA34" s="1"/>
  <c r="BM37"/>
  <c r="I37" s="1"/>
  <c r="CB35" a="1"/>
  <c r="CB35" s="1"/>
  <c r="CB38"/>
  <c r="CP34" a="1"/>
  <c r="CP34" s="1"/>
  <c r="CX39" a="1"/>
  <c r="CX39" s="1"/>
  <c r="CA38"/>
  <c r="BM39" a="1"/>
  <c r="BM39" s="1"/>
  <c r="I39" s="1"/>
  <c r="BM35" a="1"/>
  <c r="BM35" s="1"/>
  <c r="I35" s="1"/>
  <c r="BT39" a="1"/>
  <c r="BT39" s="1"/>
  <c r="CU39" a="1"/>
  <c r="CU39" s="1"/>
  <c r="CU35" a="1"/>
  <c r="CU35" s="1"/>
  <c r="CU34" a="1"/>
  <c r="CU34" s="1"/>
  <c r="CU37"/>
  <c r="CU38"/>
  <c r="CO38"/>
  <c r="K34"/>
  <c r="BO36"/>
  <c r="K36" s="1"/>
  <c r="CO91"/>
  <c r="CO5" s="1"/>
  <c r="CO34" s="1" a="1"/>
  <c r="CO34" s="1"/>
  <c r="CO36" s="1"/>
  <c r="CV91"/>
  <c r="CV5" s="1"/>
  <c r="CV38" s="1"/>
  <c r="CW91"/>
  <c r="CW5" s="1"/>
  <c r="CW38" s="1"/>
  <c r="CH5"/>
  <c r="CN51"/>
  <c r="CN3" s="1"/>
  <c r="CG3"/>
  <c r="CH38"/>
  <c r="CH35" a="1"/>
  <c r="CH35" s="1"/>
  <c r="CH34" a="1"/>
  <c r="CH34" s="1"/>
  <c r="CH36" s="1"/>
  <c r="CO151"/>
  <c r="CO8" s="1"/>
  <c r="CV151"/>
  <c r="CV8" s="1"/>
  <c r="CV39" s="1" a="1"/>
  <c r="CV39" s="1"/>
  <c r="CW151"/>
  <c r="CW8" s="1"/>
  <c r="CH8"/>
  <c r="CO111"/>
  <c r="CO6" s="1"/>
  <c r="CW111"/>
  <c r="CW6" s="1"/>
  <c r="CW39" s="1" a="1"/>
  <c r="CW39" s="1"/>
  <c r="CV111"/>
  <c r="CV6" s="1"/>
  <c r="CH6"/>
  <c r="CH39" s="1" a="1"/>
  <c r="CH39" s="1"/>
  <c r="CI39" a="1"/>
  <c r="CI39" s="1"/>
  <c r="CI38"/>
  <c r="CI34" a="1"/>
  <c r="CI34" s="1"/>
  <c r="CI35" a="1"/>
  <c r="CI35" s="1"/>
  <c r="CI37"/>
  <c r="BS35" a="1"/>
  <c r="BS35" s="1"/>
  <c r="BS39" a="1"/>
  <c r="BS39" s="1"/>
  <c r="BS38"/>
  <c r="BS37"/>
  <c r="BS34" a="1"/>
  <c r="BS34" s="1"/>
  <c r="CQ35" a="1"/>
  <c r="CQ35" s="1"/>
  <c r="CQ38"/>
  <c r="CQ37"/>
  <c r="CQ34" a="1"/>
  <c r="CQ34" s="1"/>
  <c r="CQ39" a="1"/>
  <c r="CQ39" s="1"/>
  <c r="CW37"/>
  <c r="CA37"/>
  <c r="CX37"/>
  <c r="CA39" a="1"/>
  <c r="CA39" s="1"/>
  <c r="BT38"/>
  <c r="BT36" s="1"/>
  <c r="BZ36" i="57"/>
  <c r="CO131" i="56"/>
  <c r="CO7" s="1"/>
  <c r="CV131"/>
  <c r="CV7" s="1"/>
  <c r="CH7"/>
  <c r="CW131"/>
  <c r="CW7" s="1"/>
  <c r="CO91"/>
  <c r="CO5" s="1"/>
  <c r="CV91"/>
  <c r="CV5" s="1"/>
  <c r="CW91"/>
  <c r="CW5" s="1"/>
  <c r="CH5"/>
  <c r="CB34" a="1"/>
  <c r="CB34" s="1"/>
  <c r="AU36" i="55"/>
  <c r="AV39" a="1"/>
  <c r="AV39" s="1"/>
  <c r="AV35" a="1"/>
  <c r="AV35" s="1"/>
  <c r="AV37"/>
  <c r="AV34" a="1"/>
  <c r="AV34" s="1"/>
  <c r="AV38"/>
  <c r="AR69"/>
  <c r="CJ71" s="1"/>
  <c r="BO4"/>
  <c r="AS37"/>
  <c r="AS34" a="1"/>
  <c r="AS34" s="1"/>
  <c r="AS38"/>
  <c r="AS35" a="1"/>
  <c r="AS35" s="1"/>
  <c r="AS39" a="1"/>
  <c r="AS39" s="1"/>
  <c r="BM39" a="1"/>
  <c r="BM39" s="1"/>
  <c r="I39" s="1"/>
  <c r="CU191"/>
  <c r="CU10" s="1"/>
  <c r="CP191"/>
  <c r="CP10" s="1"/>
  <c r="CX191"/>
  <c r="CX10" s="1"/>
  <c r="CI10"/>
  <c r="AU39" a="1"/>
  <c r="AU39" s="1"/>
  <c r="AR49"/>
  <c r="CG51" s="1"/>
  <c r="BO3"/>
  <c r="BV51"/>
  <c r="BV3" s="1"/>
  <c r="BL4"/>
  <c r="BL3"/>
  <c r="BS51"/>
  <c r="BS3" s="1"/>
  <c r="CA71"/>
  <c r="CA4" s="1"/>
  <c r="CB71"/>
  <c r="CB4" s="1"/>
  <c r="CB37" s="1"/>
  <c r="BM4"/>
  <c r="BM37" s="1"/>
  <c r="I37" s="1"/>
  <c r="CC71"/>
  <c r="CC4" s="1"/>
  <c r="CC35" s="1" a="1"/>
  <c r="CC35" s="1"/>
  <c r="BZ71"/>
  <c r="BZ4" s="1"/>
  <c r="BZ35" s="1" a="1"/>
  <c r="BZ35" s="1"/>
  <c r="BN4"/>
  <c r="BN34" s="1" a="1"/>
  <c r="BN34" s="1"/>
  <c r="AQ69"/>
  <c r="BU71" s="1"/>
  <c r="BU4" s="1"/>
  <c r="CQ91"/>
  <c r="CQ5" s="1"/>
  <c r="CJ5"/>
  <c r="CA51"/>
  <c r="CA3" s="1"/>
  <c r="AT36"/>
  <c r="CE4" i="49"/>
  <c r="CE5"/>
  <c r="CE6"/>
  <c r="CE7"/>
  <c r="CE8"/>
  <c r="CE3"/>
  <c r="AI2"/>
  <c r="CF4" s="1"/>
  <c r="AH2"/>
  <c r="BJ6" s="1"/>
  <c r="CF191" i="40"/>
  <c r="CE191"/>
  <c r="CF171"/>
  <c r="CE171"/>
  <c r="CF151"/>
  <c r="CE151"/>
  <c r="CF131"/>
  <c r="CE131"/>
  <c r="CF111"/>
  <c r="CE111"/>
  <c r="CF91"/>
  <c r="CE91"/>
  <c r="CF71"/>
  <c r="CE71"/>
  <c r="CF51"/>
  <c r="CE51"/>
  <c r="BK191"/>
  <c r="BJ191"/>
  <c r="BK171"/>
  <c r="BJ171"/>
  <c r="BK151"/>
  <c r="BJ151"/>
  <c r="BK131"/>
  <c r="BJ131"/>
  <c r="BK111"/>
  <c r="BJ111"/>
  <c r="BK91"/>
  <c r="BJ91"/>
  <c r="BK71"/>
  <c r="BJ71"/>
  <c r="BK51"/>
  <c r="BJ51"/>
  <c r="CX38" i="62" l="1"/>
  <c r="CN38"/>
  <c r="AS36" i="56"/>
  <c r="BU37" i="57"/>
  <c r="BU34" a="1"/>
  <c r="BU34" s="1"/>
  <c r="BN36"/>
  <c r="J36" s="1"/>
  <c r="BU35" a="1"/>
  <c r="BU35" s="1"/>
  <c r="CA38" i="56"/>
  <c r="BT51"/>
  <c r="BT3" s="1"/>
  <c r="BT38" s="1"/>
  <c r="CB39" i="57" a="1"/>
  <c r="CB39" s="1"/>
  <c r="CB35" a="1"/>
  <c r="CB35" s="1"/>
  <c r="CB34" a="1"/>
  <c r="CB34" s="1"/>
  <c r="CB37"/>
  <c r="CB38"/>
  <c r="H34"/>
  <c r="BL36"/>
  <c r="H36" s="1"/>
  <c r="CG51"/>
  <c r="CI51"/>
  <c r="BT35" a="1"/>
  <c r="BT35" s="1"/>
  <c r="BT38"/>
  <c r="BT39" a="1"/>
  <c r="BT39" s="1"/>
  <c r="BT37"/>
  <c r="BT34" a="1"/>
  <c r="BT34" s="1"/>
  <c r="BM35" a="1"/>
  <c r="BM35" s="1"/>
  <c r="I35" s="1"/>
  <c r="BM39" a="1"/>
  <c r="BM39" s="1"/>
  <c r="I39" s="1"/>
  <c r="BM34" a="1"/>
  <c r="BM34" s="1"/>
  <c r="BM38"/>
  <c r="I38" s="1"/>
  <c r="BM37"/>
  <c r="I37" s="1"/>
  <c r="CJ3"/>
  <c r="CQ51"/>
  <c r="CQ3" s="1"/>
  <c r="CA39" a="1"/>
  <c r="CA39" s="1"/>
  <c r="CA37"/>
  <c r="CA34" a="1"/>
  <c r="CA34" s="1"/>
  <c r="CA35" a="1"/>
  <c r="CA35" s="1"/>
  <c r="CA38"/>
  <c r="BV34" a="1"/>
  <c r="BV34" s="1"/>
  <c r="BV39" a="1"/>
  <c r="BV39" s="1"/>
  <c r="BV35" a="1"/>
  <c r="BV35" s="1"/>
  <c r="BV37"/>
  <c r="BV38"/>
  <c r="BO38"/>
  <c r="K38" s="1"/>
  <c r="BO34" a="1"/>
  <c r="BO34" s="1"/>
  <c r="BO35" a="1"/>
  <c r="BO35" s="1"/>
  <c r="K35" s="1"/>
  <c r="BO37"/>
  <c r="K37" s="1"/>
  <c r="BO39" a="1"/>
  <c r="BO39" s="1"/>
  <c r="K39" s="1"/>
  <c r="CH3"/>
  <c r="CO51"/>
  <c r="CO3" s="1"/>
  <c r="CV51"/>
  <c r="CV3" s="1"/>
  <c r="BL38" i="56"/>
  <c r="H38" s="1"/>
  <c r="BL35" a="1"/>
  <c r="BL35" s="1"/>
  <c r="H35" s="1"/>
  <c r="BL39" a="1"/>
  <c r="BL39" s="1"/>
  <c r="H39" s="1"/>
  <c r="BL34" a="1"/>
  <c r="BL34" s="1"/>
  <c r="BL37"/>
  <c r="H37" s="1"/>
  <c r="BO38"/>
  <c r="K38" s="1"/>
  <c r="BO34" a="1"/>
  <c r="BO34" s="1"/>
  <c r="BO39" a="1"/>
  <c r="BO39" s="1"/>
  <c r="K39" s="1"/>
  <c r="CN71"/>
  <c r="CN4" s="1"/>
  <c r="CN38" s="1"/>
  <c r="CG4"/>
  <c r="CW71"/>
  <c r="CW4" s="1"/>
  <c r="CV71"/>
  <c r="CV4" s="1"/>
  <c r="CH4"/>
  <c r="CO71"/>
  <c r="CO4" s="1"/>
  <c r="CI71"/>
  <c r="CJ71"/>
  <c r="AV36"/>
  <c r="CX51"/>
  <c r="CX3" s="1"/>
  <c r="CU51"/>
  <c r="CU3" s="1"/>
  <c r="CI3"/>
  <c r="CP51"/>
  <c r="CP3" s="1"/>
  <c r="CO51"/>
  <c r="CO3" s="1"/>
  <c r="CV51"/>
  <c r="CV3" s="1"/>
  <c r="CH3"/>
  <c r="CW51"/>
  <c r="CW3" s="1"/>
  <c r="CW38" s="1"/>
  <c r="BS51"/>
  <c r="BS3" s="1"/>
  <c r="BV51"/>
  <c r="BV3" s="1"/>
  <c r="BM34" a="1"/>
  <c r="BM34" s="1"/>
  <c r="BM35" a="1"/>
  <c r="BM35" s="1"/>
  <c r="I35" s="1"/>
  <c r="BM38"/>
  <c r="I38" s="1"/>
  <c r="BM37"/>
  <c r="I37" s="1"/>
  <c r="BM39" a="1"/>
  <c r="BM39" s="1"/>
  <c r="I39" s="1"/>
  <c r="BT34" a="1"/>
  <c r="BT34" s="1"/>
  <c r="AK18" s="1"/>
  <c r="AJ7" s="1"/>
  <c r="CQ51"/>
  <c r="CQ3" s="1"/>
  <c r="CC38"/>
  <c r="CC35" a="1"/>
  <c r="CC35" s="1"/>
  <c r="CC39" a="1"/>
  <c r="CC39" s="1"/>
  <c r="CC34" a="1"/>
  <c r="CC34" s="1"/>
  <c r="CC37"/>
  <c r="BZ35" a="1"/>
  <c r="BZ35" s="1"/>
  <c r="BZ39" a="1"/>
  <c r="BZ39" s="1"/>
  <c r="BZ34" a="1"/>
  <c r="BZ34" s="1"/>
  <c r="BZ37"/>
  <c r="BZ38"/>
  <c r="BN38"/>
  <c r="J38" s="1"/>
  <c r="BN39" a="1"/>
  <c r="BN39" s="1"/>
  <c r="J39" s="1"/>
  <c r="BN37"/>
  <c r="J37" s="1"/>
  <c r="BN35" a="1"/>
  <c r="BN35" s="1"/>
  <c r="J35" s="1"/>
  <c r="BN34" a="1"/>
  <c r="BN34" s="1"/>
  <c r="CB39" a="1"/>
  <c r="CB39" s="1"/>
  <c r="CB38"/>
  <c r="CB36" s="1"/>
  <c r="CA37"/>
  <c r="CA39" a="1"/>
  <c r="CA39" s="1"/>
  <c r="CA34" a="1"/>
  <c r="CA34" s="1"/>
  <c r="CH34" a="1"/>
  <c r="CH34" s="1"/>
  <c r="AT36"/>
  <c r="BU51"/>
  <c r="BU3" s="1"/>
  <c r="CH36" i="66"/>
  <c r="CO36"/>
  <c r="BS36"/>
  <c r="CU39" i="65" a="1"/>
  <c r="CU39" s="1"/>
  <c r="CV39" i="64" a="1"/>
  <c r="CV39" s="1"/>
  <c r="CI37"/>
  <c r="CV37"/>
  <c r="CI38"/>
  <c r="CI36" s="1"/>
  <c r="CI35" a="1"/>
  <c r="CI35" s="1"/>
  <c r="CU38"/>
  <c r="CH36"/>
  <c r="CN36"/>
  <c r="CX36" i="63"/>
  <c r="CU36"/>
  <c r="CH36"/>
  <c r="CN37" i="62"/>
  <c r="CW36"/>
  <c r="CN35" a="1"/>
  <c r="CN35" s="1"/>
  <c r="CV38"/>
  <c r="CV34" a="1"/>
  <c r="CV34" s="1"/>
  <c r="CV36" s="1"/>
  <c r="CQ36" i="58"/>
  <c r="CC38" i="55"/>
  <c r="CC37"/>
  <c r="CG71"/>
  <c r="CN71" s="1"/>
  <c r="CN4" s="1"/>
  <c r="CI71"/>
  <c r="CP71" s="1"/>
  <c r="CP4" s="1"/>
  <c r="CJ51"/>
  <c r="CQ51" s="1"/>
  <c r="CQ3" s="1"/>
  <c r="CX36" i="66"/>
  <c r="CI36"/>
  <c r="CW36" i="65"/>
  <c r="CV36" i="64"/>
  <c r="CP34" a="1"/>
  <c r="CP34" s="1"/>
  <c r="CP36" s="1"/>
  <c r="CO35" a="1"/>
  <c r="CO35" s="1"/>
  <c r="CW37"/>
  <c r="CX37"/>
  <c r="CJ36" i="63"/>
  <c r="CV36"/>
  <c r="CO36"/>
  <c r="CA36" i="60"/>
  <c r="CC36"/>
  <c r="CU35" i="62" a="1"/>
  <c r="CU35" s="1"/>
  <c r="CG37"/>
  <c r="CU38"/>
  <c r="CX37"/>
  <c r="CO36"/>
  <c r="CG38"/>
  <c r="CG36" s="1"/>
  <c r="CU34" a="1"/>
  <c r="CU34" s="1"/>
  <c r="CX35" a="1"/>
  <c r="CX35" s="1"/>
  <c r="CI35" a="1"/>
  <c r="CI35" s="1"/>
  <c r="CV35" a="1"/>
  <c r="CV35" s="1"/>
  <c r="CC37" i="59"/>
  <c r="CA35" a="1"/>
  <c r="CA35" s="1"/>
  <c r="CC39" a="1"/>
  <c r="CC39" s="1"/>
  <c r="AU36"/>
  <c r="BN34" a="1"/>
  <c r="BN34" s="1"/>
  <c r="J34" s="1"/>
  <c r="CA39" a="1"/>
  <c r="CA39" s="1"/>
  <c r="CV36" i="66"/>
  <c r="CW36"/>
  <c r="BV36"/>
  <c r="AM18"/>
  <c r="CP36"/>
  <c r="BU36"/>
  <c r="AL18"/>
  <c r="AJ6" s="1"/>
  <c r="CX38" i="65"/>
  <c r="CX37"/>
  <c r="CX35" a="1"/>
  <c r="CX35" s="1"/>
  <c r="CX34" a="1"/>
  <c r="CX34" s="1"/>
  <c r="CX39" a="1"/>
  <c r="CX39" s="1"/>
  <c r="CQ35" a="1"/>
  <c r="CQ35" s="1"/>
  <c r="CQ37"/>
  <c r="CQ38"/>
  <c r="CQ39" a="1"/>
  <c r="CQ39" s="1"/>
  <c r="CQ34" a="1"/>
  <c r="CQ34" s="1"/>
  <c r="CV35" a="1"/>
  <c r="CV35" s="1"/>
  <c r="CV34" a="1"/>
  <c r="CV34" s="1"/>
  <c r="CV37"/>
  <c r="CV39" a="1"/>
  <c r="CV39" s="1"/>
  <c r="CV38"/>
  <c r="CJ35" a="1"/>
  <c r="CJ35" s="1"/>
  <c r="CJ34" a="1"/>
  <c r="CJ34" s="1"/>
  <c r="CJ39" a="1"/>
  <c r="CJ39" s="1"/>
  <c r="CJ37"/>
  <c r="CJ38"/>
  <c r="CH36"/>
  <c r="CI36"/>
  <c r="CO36"/>
  <c r="CU36"/>
  <c r="CG39" a="1"/>
  <c r="CG39" s="1"/>
  <c r="CG37"/>
  <c r="CG34" a="1"/>
  <c r="CG34" s="1"/>
  <c r="CG35" a="1"/>
  <c r="CG35" s="1"/>
  <c r="CG38"/>
  <c r="AJ18"/>
  <c r="AJ8" s="1"/>
  <c r="BS36"/>
  <c r="CN39" a="1"/>
  <c r="CN39" s="1"/>
  <c r="CN38"/>
  <c r="CN37"/>
  <c r="CN34" a="1"/>
  <c r="CN34" s="1"/>
  <c r="CN35" a="1"/>
  <c r="CN35" s="1"/>
  <c r="CP36"/>
  <c r="CJ38" i="64"/>
  <c r="CJ37"/>
  <c r="CJ34" a="1"/>
  <c r="CJ34" s="1"/>
  <c r="CJ39" a="1"/>
  <c r="CJ39" s="1"/>
  <c r="CJ35" a="1"/>
  <c r="CJ35" s="1"/>
  <c r="CU34" a="1"/>
  <c r="CU34" s="1"/>
  <c r="CU37"/>
  <c r="CG36"/>
  <c r="CW38"/>
  <c r="CW36" s="1"/>
  <c r="CU35" a="1"/>
  <c r="CU35" s="1"/>
  <c r="CO39" a="1"/>
  <c r="CO39" s="1"/>
  <c r="CX34" a="1"/>
  <c r="CX34" s="1"/>
  <c r="CX38"/>
  <c r="CQ38"/>
  <c r="CQ39" a="1"/>
  <c r="CQ39" s="1"/>
  <c r="CQ34" a="1"/>
  <c r="CQ34" s="1"/>
  <c r="CQ37"/>
  <c r="CQ35" a="1"/>
  <c r="CQ35" s="1"/>
  <c r="CW39" a="1"/>
  <c r="CW39" s="1"/>
  <c r="CO34" a="1"/>
  <c r="CO34" s="1"/>
  <c r="CO36" s="1"/>
  <c r="CX35" a="1"/>
  <c r="CX35" s="1"/>
  <c r="CW35" a="1"/>
  <c r="CW35" s="1"/>
  <c r="CW36" i="63"/>
  <c r="CQ36"/>
  <c r="CI36"/>
  <c r="CG39" a="1"/>
  <c r="CG39" s="1"/>
  <c r="CG34" a="1"/>
  <c r="CG34" s="1"/>
  <c r="CG35" a="1"/>
  <c r="CG35" s="1"/>
  <c r="CG37"/>
  <c r="CG38"/>
  <c r="CN39" a="1"/>
  <c r="CN39" s="1"/>
  <c r="CN38"/>
  <c r="CN37"/>
  <c r="CN34" a="1"/>
  <c r="CN34" s="1"/>
  <c r="CN35" a="1"/>
  <c r="CN35" s="1"/>
  <c r="CP36"/>
  <c r="BT36" i="62"/>
  <c r="AK18"/>
  <c r="AJ7" s="1"/>
  <c r="BV36"/>
  <c r="AM18"/>
  <c r="AJ18"/>
  <c r="AJ8" s="1"/>
  <c r="BS36"/>
  <c r="CI37"/>
  <c r="CQ34" a="1"/>
  <c r="CQ34" s="1"/>
  <c r="CQ36" s="1"/>
  <c r="CP34" a="1"/>
  <c r="CP34" s="1"/>
  <c r="CP39" a="1"/>
  <c r="CP39" s="1"/>
  <c r="CX39" a="1"/>
  <c r="CX39" s="1"/>
  <c r="CN34" a="1"/>
  <c r="CN34" s="1"/>
  <c r="CN39" a="1"/>
  <c r="CN39" s="1"/>
  <c r="CJ34" a="1"/>
  <c r="CJ34" s="1"/>
  <c r="CJ36" s="1"/>
  <c r="CI38"/>
  <c r="CV39" a="1"/>
  <c r="CV39" s="1"/>
  <c r="CQ39" a="1"/>
  <c r="CQ39" s="1"/>
  <c r="CQ35" a="1"/>
  <c r="CQ35" s="1"/>
  <c r="CP38"/>
  <c r="CX34" a="1"/>
  <c r="CX34" s="1"/>
  <c r="CI34" a="1"/>
  <c r="CI34" s="1"/>
  <c r="CN39" i="60" a="1"/>
  <c r="CN39" s="1"/>
  <c r="CN38"/>
  <c r="CN37"/>
  <c r="CN34" a="1"/>
  <c r="CN34" s="1"/>
  <c r="CN35" a="1"/>
  <c r="CN35" s="1"/>
  <c r="CQ35" a="1"/>
  <c r="CQ35" s="1"/>
  <c r="CQ37"/>
  <c r="CQ39" a="1"/>
  <c r="CQ39" s="1"/>
  <c r="CQ34" a="1"/>
  <c r="CQ34" s="1"/>
  <c r="CQ38"/>
  <c r="CX38"/>
  <c r="CX37"/>
  <c r="CX35" a="1"/>
  <c r="CX35" s="1"/>
  <c r="CX34" a="1"/>
  <c r="CX34" s="1"/>
  <c r="CX39" a="1"/>
  <c r="CX39" s="1"/>
  <c r="CO35" a="1"/>
  <c r="CO35" s="1"/>
  <c r="CO38"/>
  <c r="CO37"/>
  <c r="CO34" a="1"/>
  <c r="CO34" s="1"/>
  <c r="CO39" a="1"/>
  <c r="CO39" s="1"/>
  <c r="BL36"/>
  <c r="H36" s="1"/>
  <c r="H34"/>
  <c r="CG39" a="1"/>
  <c r="CG39" s="1"/>
  <c r="CG37"/>
  <c r="CG38"/>
  <c r="CG35" a="1"/>
  <c r="CG35" s="1"/>
  <c r="CG34" a="1"/>
  <c r="CG34" s="1"/>
  <c r="CJ35" a="1"/>
  <c r="CJ35" s="1"/>
  <c r="CJ34" a="1"/>
  <c r="CJ34" s="1"/>
  <c r="CJ39" a="1"/>
  <c r="CJ39" s="1"/>
  <c r="CJ38"/>
  <c r="CJ37"/>
  <c r="CU34" a="1"/>
  <c r="CU34" s="1"/>
  <c r="CU39" a="1"/>
  <c r="CU39" s="1"/>
  <c r="CU38"/>
  <c r="CU37"/>
  <c r="CU35" a="1"/>
  <c r="CU35" s="1"/>
  <c r="CW34" a="1"/>
  <c r="CW34" s="1"/>
  <c r="CW39" a="1"/>
  <c r="CW39" s="1"/>
  <c r="CW38"/>
  <c r="CW35" a="1"/>
  <c r="CW35" s="1"/>
  <c r="CW37"/>
  <c r="BT35" a="1"/>
  <c r="BT35" s="1"/>
  <c r="BT39" a="1"/>
  <c r="BT39" s="1"/>
  <c r="BT38"/>
  <c r="BT34" a="1"/>
  <c r="BT34" s="1"/>
  <c r="BT37"/>
  <c r="CI38"/>
  <c r="CI37"/>
  <c r="CI35" a="1"/>
  <c r="CI35" s="1"/>
  <c r="CI34" a="1"/>
  <c r="CI34" s="1"/>
  <c r="CI39" a="1"/>
  <c r="CI39" s="1"/>
  <c r="CV35" a="1"/>
  <c r="CV35" s="1"/>
  <c r="CV39" a="1"/>
  <c r="CV39" s="1"/>
  <c r="CV38"/>
  <c r="CV37"/>
  <c r="CV34" a="1"/>
  <c r="CV34" s="1"/>
  <c r="I34"/>
  <c r="BM36"/>
  <c r="I36" s="1"/>
  <c r="BZ36"/>
  <c r="CB36"/>
  <c r="BU39" a="1"/>
  <c r="BU39" s="1"/>
  <c r="BU38"/>
  <c r="BU35" a="1"/>
  <c r="BU35" s="1"/>
  <c r="BU37"/>
  <c r="BU34" a="1"/>
  <c r="BU34" s="1"/>
  <c r="BO36"/>
  <c r="K36" s="1"/>
  <c r="K34"/>
  <c r="AJ18"/>
  <c r="AJ8" s="1"/>
  <c r="BS36"/>
  <c r="BN36"/>
  <c r="J36" s="1"/>
  <c r="J34"/>
  <c r="CP39" a="1"/>
  <c r="CP39" s="1"/>
  <c r="CP34" a="1"/>
  <c r="CP34" s="1"/>
  <c r="CP38"/>
  <c r="CP35" a="1"/>
  <c r="CP35" s="1"/>
  <c r="CP37"/>
  <c r="CH38"/>
  <c r="CH37"/>
  <c r="CH35" a="1"/>
  <c r="CH35" s="1"/>
  <c r="CH34" a="1"/>
  <c r="CH34" s="1"/>
  <c r="CH39" a="1"/>
  <c r="CH39" s="1"/>
  <c r="BV36"/>
  <c r="AM18"/>
  <c r="AK18" i="59"/>
  <c r="AJ7" s="1"/>
  <c r="K34"/>
  <c r="BO36"/>
  <c r="K36" s="1"/>
  <c r="BL36"/>
  <c r="H36" s="1"/>
  <c r="H34"/>
  <c r="BT38"/>
  <c r="BT36" s="1"/>
  <c r="CB35" a="1"/>
  <c r="CB35" s="1"/>
  <c r="CG71"/>
  <c r="BN35" a="1"/>
  <c r="BN35" s="1"/>
  <c r="J35" s="1"/>
  <c r="BN39" a="1"/>
  <c r="BN39" s="1"/>
  <c r="J39" s="1"/>
  <c r="BT39" a="1"/>
  <c r="BT39" s="1"/>
  <c r="BU71"/>
  <c r="BU4" s="1"/>
  <c r="CA38"/>
  <c r="CA36" s="1"/>
  <c r="CB37"/>
  <c r="CC34" a="1"/>
  <c r="CC34" s="1"/>
  <c r="CC36" s="1"/>
  <c r="BN37"/>
  <c r="J37" s="1"/>
  <c r="BT37"/>
  <c r="CQ34" a="1"/>
  <c r="CQ34" s="1"/>
  <c r="CQ39" a="1"/>
  <c r="CQ39" s="1"/>
  <c r="CQ71"/>
  <c r="CQ4" s="1"/>
  <c r="CQ37" s="1"/>
  <c r="CJ4"/>
  <c r="CJ39" s="1" a="1"/>
  <c r="CJ39" s="1"/>
  <c r="CH38"/>
  <c r="CU71"/>
  <c r="CU4" s="1"/>
  <c r="CU38" s="1"/>
  <c r="CX71"/>
  <c r="CX4" s="1"/>
  <c r="CX37" s="1"/>
  <c r="CP71"/>
  <c r="CP4" s="1"/>
  <c r="CP39" s="1" a="1"/>
  <c r="CP39" s="1"/>
  <c r="CI4"/>
  <c r="CI39" s="1" a="1"/>
  <c r="CI39" s="1"/>
  <c r="CO71"/>
  <c r="CO4" s="1"/>
  <c r="CO35" s="1" a="1"/>
  <c r="CO35" s="1"/>
  <c r="CW71"/>
  <c r="CW4" s="1"/>
  <c r="CW38" s="1"/>
  <c r="CH4"/>
  <c r="CH35" s="1" a="1"/>
  <c r="CH35" s="1"/>
  <c r="CV71"/>
  <c r="CV4" s="1"/>
  <c r="CV37" s="1"/>
  <c r="CN51"/>
  <c r="CN3" s="1"/>
  <c r="CG3"/>
  <c r="BM36"/>
  <c r="I36" s="1"/>
  <c r="I34"/>
  <c r="CP38"/>
  <c r="CB39" a="1"/>
  <c r="CB39" s="1"/>
  <c r="BT35" a="1"/>
  <c r="BT35" s="1"/>
  <c r="CB38"/>
  <c r="CB36" s="1"/>
  <c r="BZ36"/>
  <c r="AS36"/>
  <c r="BV71"/>
  <c r="BV4" s="1"/>
  <c r="BV35" s="1" a="1"/>
  <c r="BV35" s="1"/>
  <c r="BS71"/>
  <c r="BS4" s="1"/>
  <c r="BS36" i="58"/>
  <c r="AJ18"/>
  <c r="AJ8" s="1"/>
  <c r="CN39" a="1"/>
  <c r="CN39" s="1"/>
  <c r="CN38"/>
  <c r="CN37"/>
  <c r="CN35" a="1"/>
  <c r="CN35" s="1"/>
  <c r="CN34" a="1"/>
  <c r="CN34" s="1"/>
  <c r="CI36"/>
  <c r="CO39" a="1"/>
  <c r="CO39" s="1"/>
  <c r="CO35" a="1"/>
  <c r="CO35" s="1"/>
  <c r="CV37"/>
  <c r="CW34" a="1"/>
  <c r="CW34" s="1"/>
  <c r="CW36" s="1"/>
  <c r="CH37"/>
  <c r="CO37"/>
  <c r="CV34" a="1"/>
  <c r="CV34" s="1"/>
  <c r="CV36" s="1"/>
  <c r="CV35" a="1"/>
  <c r="CV35" s="1"/>
  <c r="CJ36"/>
  <c r="CG39" a="1"/>
  <c r="CG39" s="1"/>
  <c r="CG38"/>
  <c r="CG37"/>
  <c r="CG35" a="1"/>
  <c r="CG35" s="1"/>
  <c r="CG34" a="1"/>
  <c r="CG34" s="1"/>
  <c r="CG36" s="1"/>
  <c r="BL36"/>
  <c r="H36" s="1"/>
  <c r="H34"/>
  <c r="BM36"/>
  <c r="I36" s="1"/>
  <c r="I34"/>
  <c r="CW35" a="1"/>
  <c r="CW35" s="1"/>
  <c r="CU36"/>
  <c r="CP36"/>
  <c r="CA36"/>
  <c r="CV38" i="56"/>
  <c r="CW37"/>
  <c r="BZ34" i="55" a="1"/>
  <c r="BZ34" s="1"/>
  <c r="BN38"/>
  <c r="J38" s="1"/>
  <c r="BM35" a="1"/>
  <c r="BM35" s="1"/>
  <c r="I35" s="1"/>
  <c r="AS36"/>
  <c r="BZ39" a="1"/>
  <c r="BZ39" s="1"/>
  <c r="CB35" a="1"/>
  <c r="CB35" s="1"/>
  <c r="BM34" a="1"/>
  <c r="BM34" s="1"/>
  <c r="I34" s="1"/>
  <c r="BZ38"/>
  <c r="BU35" a="1"/>
  <c r="BU35" s="1"/>
  <c r="BU39" a="1"/>
  <c r="BU39" s="1"/>
  <c r="BU38"/>
  <c r="BU34" a="1"/>
  <c r="BU34" s="1"/>
  <c r="BU37"/>
  <c r="CN51"/>
  <c r="CN3" s="1"/>
  <c r="CG3"/>
  <c r="CJ4"/>
  <c r="CQ71"/>
  <c r="CQ4" s="1"/>
  <c r="J34"/>
  <c r="CA39" a="1"/>
  <c r="CA39" s="1"/>
  <c r="CA35" a="1"/>
  <c r="CA35" s="1"/>
  <c r="CA34" a="1"/>
  <c r="CA34" s="1"/>
  <c r="CA38"/>
  <c r="CA37"/>
  <c r="BN35" a="1"/>
  <c r="BN35" s="1"/>
  <c r="J35" s="1"/>
  <c r="BS71"/>
  <c r="BS4" s="1"/>
  <c r="BS37" s="1"/>
  <c r="CB39" a="1"/>
  <c r="CB39" s="1"/>
  <c r="CB38"/>
  <c r="BT71"/>
  <c r="BT4" s="1"/>
  <c r="BN37"/>
  <c r="J37" s="1"/>
  <c r="BN39" a="1"/>
  <c r="BN39" s="1"/>
  <c r="J39" s="1"/>
  <c r="BM38"/>
  <c r="I38" s="1"/>
  <c r="BV71"/>
  <c r="BV4" s="1"/>
  <c r="BV37" s="1"/>
  <c r="AV36"/>
  <c r="CC34" a="1"/>
  <c r="CC34" s="1"/>
  <c r="CC39" a="1"/>
  <c r="CC39" s="1"/>
  <c r="BZ37"/>
  <c r="CX71"/>
  <c r="CX4" s="1"/>
  <c r="CI4"/>
  <c r="BS35" a="1"/>
  <c r="BS35" s="1"/>
  <c r="CG4"/>
  <c r="BO35" a="1"/>
  <c r="BO35" s="1"/>
  <c r="K35" s="1"/>
  <c r="BO37"/>
  <c r="K37" s="1"/>
  <c r="BO39" a="1"/>
  <c r="BO39" s="1"/>
  <c r="K39" s="1"/>
  <c r="BO34" a="1"/>
  <c r="BO34" s="1"/>
  <c r="BO38"/>
  <c r="K38" s="1"/>
  <c r="BL39" a="1"/>
  <c r="BL39" s="1"/>
  <c r="H39" s="1"/>
  <c r="BL38"/>
  <c r="H38" s="1"/>
  <c r="BL37"/>
  <c r="H37" s="1"/>
  <c r="BL34" a="1"/>
  <c r="BL34" s="1"/>
  <c r="BL35" a="1"/>
  <c r="BL35" s="1"/>
  <c r="H35" s="1"/>
  <c r="CI51"/>
  <c r="CH51"/>
  <c r="CB34" a="1"/>
  <c r="CB34" s="1"/>
  <c r="CH71"/>
  <c r="CF6" i="49"/>
  <c r="BK3"/>
  <c r="BK5"/>
  <c r="BK6"/>
  <c r="CF3"/>
  <c r="CF5"/>
  <c r="BJ4"/>
  <c r="BJ3"/>
  <c r="BJ5"/>
  <c r="BK7"/>
  <c r="CF7"/>
  <c r="BJ7"/>
  <c r="BJ8"/>
  <c r="BK8"/>
  <c r="BK4"/>
  <c r="CF8"/>
  <c r="CX36" i="62" l="1"/>
  <c r="CN36"/>
  <c r="CC36" i="56"/>
  <c r="BT39" a="1"/>
  <c r="BT39" s="1"/>
  <c r="BS39" i="55" a="1"/>
  <c r="BS39" s="1"/>
  <c r="BN36"/>
  <c r="J36" s="1"/>
  <c r="BU36" i="57"/>
  <c r="AL18"/>
  <c r="AJ6" s="1"/>
  <c r="CN35" i="56" a="1"/>
  <c r="CN35" s="1"/>
  <c r="CV34" a="1"/>
  <c r="CV34" s="1"/>
  <c r="CV36" s="1"/>
  <c r="CA36"/>
  <c r="BT35" a="1"/>
  <c r="BT35" s="1"/>
  <c r="CH37"/>
  <c r="CW35" a="1"/>
  <c r="CW35" s="1"/>
  <c r="CW39" a="1"/>
  <c r="CW39" s="1"/>
  <c r="BT37"/>
  <c r="CW34" a="1"/>
  <c r="CW34" s="1"/>
  <c r="CW36" s="1"/>
  <c r="CU71" i="55"/>
  <c r="CU4" s="1"/>
  <c r="BZ36"/>
  <c r="CC36"/>
  <c r="CH37" i="57"/>
  <c r="CH39" a="1"/>
  <c r="CH39" s="1"/>
  <c r="CH35" a="1"/>
  <c r="CH35" s="1"/>
  <c r="CH38"/>
  <c r="CH34" a="1"/>
  <c r="CH34" s="1"/>
  <c r="K34"/>
  <c r="BO36"/>
  <c r="K36" s="1"/>
  <c r="CQ38"/>
  <c r="CQ37"/>
  <c r="CQ34" a="1"/>
  <c r="CQ34" s="1"/>
  <c r="CQ39" a="1"/>
  <c r="CQ39" s="1"/>
  <c r="CQ35" a="1"/>
  <c r="CQ35" s="1"/>
  <c r="I34"/>
  <c r="BM36"/>
  <c r="I36" s="1"/>
  <c r="CP51"/>
  <c r="CP3" s="1"/>
  <c r="CU51"/>
  <c r="CU3" s="1"/>
  <c r="CX51"/>
  <c r="CX3" s="1"/>
  <c r="CI3"/>
  <c r="CO38"/>
  <c r="CO37"/>
  <c r="CO35" a="1"/>
  <c r="CO35" s="1"/>
  <c r="CO34" a="1"/>
  <c r="CO34" s="1"/>
  <c r="CO39" a="1"/>
  <c r="CO39" s="1"/>
  <c r="BV36"/>
  <c r="AM18"/>
  <c r="CB36"/>
  <c r="BT36"/>
  <c r="AK18"/>
  <c r="AJ7" s="1"/>
  <c r="CV37"/>
  <c r="CV39" a="1"/>
  <c r="CV39" s="1"/>
  <c r="CV34" a="1"/>
  <c r="CV34" s="1"/>
  <c r="CV35" a="1"/>
  <c r="CV35" s="1"/>
  <c r="CV38"/>
  <c r="CJ35" a="1"/>
  <c r="CJ35" s="1"/>
  <c r="CJ39" a="1"/>
  <c r="CJ39" s="1"/>
  <c r="CJ38"/>
  <c r="CJ37"/>
  <c r="CJ34" a="1"/>
  <c r="CJ34" s="1"/>
  <c r="CN51"/>
  <c r="CN3" s="1"/>
  <c r="CG3"/>
  <c r="CW51"/>
  <c r="CW3" s="1"/>
  <c r="CA36"/>
  <c r="CJ4" i="56"/>
  <c r="CQ71"/>
  <c r="CQ4" s="1"/>
  <c r="CQ34" s="1" a="1"/>
  <c r="CQ34" s="1"/>
  <c r="CG35" a="1"/>
  <c r="CG35" s="1"/>
  <c r="CG37"/>
  <c r="CG39" a="1"/>
  <c r="CG39" s="1"/>
  <c r="CG34" a="1"/>
  <c r="CG34" s="1"/>
  <c r="CG38"/>
  <c r="K34"/>
  <c r="BO36"/>
  <c r="K36" s="1"/>
  <c r="BT36"/>
  <c r="BZ36"/>
  <c r="CN39" a="1"/>
  <c r="CN39" s="1"/>
  <c r="CI4"/>
  <c r="CI34" s="1" a="1"/>
  <c r="CI34" s="1"/>
  <c r="CX71"/>
  <c r="CX4" s="1"/>
  <c r="CP71"/>
  <c r="CP4" s="1"/>
  <c r="CP35" s="1" a="1"/>
  <c r="CP35" s="1"/>
  <c r="CU71"/>
  <c r="CU4" s="1"/>
  <c r="CU34" s="1" a="1"/>
  <c r="CU34" s="1"/>
  <c r="H34"/>
  <c r="BL36"/>
  <c r="H36" s="1"/>
  <c r="CN34" a="1"/>
  <c r="CN34" s="1"/>
  <c r="CN36" s="1"/>
  <c r="CH35" a="1"/>
  <c r="CH35" s="1"/>
  <c r="CN37"/>
  <c r="BS37"/>
  <c r="BS38"/>
  <c r="BS34" a="1"/>
  <c r="BS34" s="1"/>
  <c r="BS39" a="1"/>
  <c r="BS39" s="1"/>
  <c r="BS35" a="1"/>
  <c r="BS35" s="1"/>
  <c r="BV37"/>
  <c r="BV38"/>
  <c r="BV34" a="1"/>
  <c r="BV34" s="1"/>
  <c r="BV39" a="1"/>
  <c r="BV39" s="1"/>
  <c r="BV35" a="1"/>
  <c r="BV35" s="1"/>
  <c r="CH39" a="1"/>
  <c r="CH39" s="1"/>
  <c r="CH38"/>
  <c r="CH36" s="1"/>
  <c r="CI37"/>
  <c r="CI38"/>
  <c r="CQ37"/>
  <c r="CQ38"/>
  <c r="CO35" a="1"/>
  <c r="CO35" s="1"/>
  <c r="CO38"/>
  <c r="CO39" a="1"/>
  <c r="CO39" s="1"/>
  <c r="CO34" a="1"/>
  <c r="CO34" s="1"/>
  <c r="CO37"/>
  <c r="CX34" a="1"/>
  <c r="CX34" s="1"/>
  <c r="CX39" a="1"/>
  <c r="CX39" s="1"/>
  <c r="CX38"/>
  <c r="CX37"/>
  <c r="CX35" a="1"/>
  <c r="CX35" s="1"/>
  <c r="CV39" a="1"/>
  <c r="CV39" s="1"/>
  <c r="CV37"/>
  <c r="CV35" a="1"/>
  <c r="CV35" s="1"/>
  <c r="CU35" a="1"/>
  <c r="CU35" s="1"/>
  <c r="BU38"/>
  <c r="BU39" a="1"/>
  <c r="BU39" s="1"/>
  <c r="BU37"/>
  <c r="BU34" a="1"/>
  <c r="BU34" s="1"/>
  <c r="BU35" a="1"/>
  <c r="BU35" s="1"/>
  <c r="J34"/>
  <c r="BN36"/>
  <c r="J36" s="1"/>
  <c r="I34"/>
  <c r="BM36"/>
  <c r="I36" s="1"/>
  <c r="CP38"/>
  <c r="CU36" i="64"/>
  <c r="CQ36"/>
  <c r="CX36"/>
  <c r="CP36" i="60"/>
  <c r="CW36"/>
  <c r="CX36"/>
  <c r="CH36"/>
  <c r="CV36"/>
  <c r="CU36"/>
  <c r="CJ36"/>
  <c r="CQ36"/>
  <c r="CI36" i="62"/>
  <c r="CP36"/>
  <c r="CP34" i="59" a="1"/>
  <c r="CP34" s="1"/>
  <c r="CP36" s="1"/>
  <c r="CP37"/>
  <c r="CV34" a="1"/>
  <c r="CV34" s="1"/>
  <c r="CH37"/>
  <c r="CP35" a="1"/>
  <c r="CP35" s="1"/>
  <c r="CN36" i="58"/>
  <c r="CB36" i="55"/>
  <c r="CJ3"/>
  <c r="CJ37" s="1"/>
  <c r="CV36" i="65"/>
  <c r="CJ36"/>
  <c r="CQ36"/>
  <c r="CN36" i="63"/>
  <c r="CU36" i="62"/>
  <c r="BN36" i="59"/>
  <c r="J36" s="1"/>
  <c r="CX35" a="1"/>
  <c r="CX35" s="1"/>
  <c r="CW37"/>
  <c r="CI37"/>
  <c r="CH34" a="1"/>
  <c r="CH34" s="1"/>
  <c r="CH36" s="1"/>
  <c r="CQ35" a="1"/>
  <c r="CQ35" s="1"/>
  <c r="CJ35" a="1"/>
  <c r="CJ35" s="1"/>
  <c r="CW39" a="1"/>
  <c r="CW39" s="1"/>
  <c r="CI38"/>
  <c r="CH39" a="1"/>
  <c r="CH39" s="1"/>
  <c r="CQ38"/>
  <c r="CQ36" s="1"/>
  <c r="CJ37"/>
  <c r="CN36" i="65"/>
  <c r="CG36"/>
  <c r="CX36"/>
  <c r="CJ36" i="64"/>
  <c r="CG36" i="63"/>
  <c r="BU36" i="60"/>
  <c r="AL18"/>
  <c r="AJ6" s="1"/>
  <c r="CI36"/>
  <c r="CG36"/>
  <c r="CO36"/>
  <c r="BT36"/>
  <c r="AK18"/>
  <c r="AJ7" s="1"/>
  <c r="CN36"/>
  <c r="BS35" i="59" a="1"/>
  <c r="BS35" s="1"/>
  <c r="BS38"/>
  <c r="BS34" a="1"/>
  <c r="BS34" s="1"/>
  <c r="BS37"/>
  <c r="BS39" a="1"/>
  <c r="BS39" s="1"/>
  <c r="BU35" a="1"/>
  <c r="BU35" s="1"/>
  <c r="BU38"/>
  <c r="BU39" a="1"/>
  <c r="BU39" s="1"/>
  <c r="BU37"/>
  <c r="BU34" a="1"/>
  <c r="BU34" s="1"/>
  <c r="CN71"/>
  <c r="CN4" s="1"/>
  <c r="CN39" s="1" a="1"/>
  <c r="CN39" s="1"/>
  <c r="CG4"/>
  <c r="CG37" s="1"/>
  <c r="BV39" a="1"/>
  <c r="BV39" s="1"/>
  <c r="CU34" a="1"/>
  <c r="CU34" s="1"/>
  <c r="CU36" s="1"/>
  <c r="CU35" a="1"/>
  <c r="CU35" s="1"/>
  <c r="BV38"/>
  <c r="CO37"/>
  <c r="CX39" a="1"/>
  <c r="CX39" s="1"/>
  <c r="CV38"/>
  <c r="CV36" s="1"/>
  <c r="CV35" a="1"/>
  <c r="CV35" s="1"/>
  <c r="CJ38"/>
  <c r="CU39" a="1"/>
  <c r="CU39" s="1"/>
  <c r="CW35" a="1"/>
  <c r="CW35" s="1"/>
  <c r="CW34" a="1"/>
  <c r="CW34" s="1"/>
  <c r="CW36" s="1"/>
  <c r="CI34" a="1"/>
  <c r="CI34" s="1"/>
  <c r="BV37"/>
  <c r="CO39" a="1"/>
  <c r="CO39" s="1"/>
  <c r="CX34" a="1"/>
  <c r="CX34" s="1"/>
  <c r="CX38"/>
  <c r="CV39" a="1"/>
  <c r="CV39" s="1"/>
  <c r="CJ34" a="1"/>
  <c r="CJ34" s="1"/>
  <c r="CU37"/>
  <c r="CN38"/>
  <c r="CN37"/>
  <c r="CO34" a="1"/>
  <c r="CO34" s="1"/>
  <c r="BV34" a="1"/>
  <c r="BV34" s="1"/>
  <c r="CI35" a="1"/>
  <c r="CI35" s="1"/>
  <c r="CO38"/>
  <c r="BV38" i="55"/>
  <c r="BV34" a="1"/>
  <c r="BV34" s="1"/>
  <c r="AM18" s="1"/>
  <c r="BV39" a="1"/>
  <c r="BV39" s="1"/>
  <c r="CO51"/>
  <c r="CO3" s="1"/>
  <c r="CW51"/>
  <c r="CW3" s="1"/>
  <c r="CV51"/>
  <c r="CV3" s="1"/>
  <c r="CH3"/>
  <c r="CQ35" a="1"/>
  <c r="CQ35" s="1"/>
  <c r="CQ37"/>
  <c r="CQ39" a="1"/>
  <c r="CQ39" s="1"/>
  <c r="CQ34" a="1"/>
  <c r="CQ34" s="1"/>
  <c r="CQ38"/>
  <c r="CN39" a="1"/>
  <c r="CN39" s="1"/>
  <c r="CN38"/>
  <c r="CN37"/>
  <c r="CN34" a="1"/>
  <c r="CN34" s="1"/>
  <c r="CN35" a="1"/>
  <c r="CN35" s="1"/>
  <c r="CG39" a="1"/>
  <c r="CG39" s="1"/>
  <c r="CG37"/>
  <c r="CG38"/>
  <c r="CG35" a="1"/>
  <c r="CG35" s="1"/>
  <c r="CG34" a="1"/>
  <c r="CG34" s="1"/>
  <c r="CX51"/>
  <c r="CX3" s="1"/>
  <c r="CU51"/>
  <c r="CU3" s="1"/>
  <c r="CP51"/>
  <c r="CP3" s="1"/>
  <c r="CI3"/>
  <c r="BT38"/>
  <c r="BT35" a="1"/>
  <c r="BT35" s="1"/>
  <c r="BT34" a="1"/>
  <c r="BT34" s="1"/>
  <c r="BT39" a="1"/>
  <c r="BT39" s="1"/>
  <c r="BT37"/>
  <c r="BS38"/>
  <c r="BS34" a="1"/>
  <c r="BS34" s="1"/>
  <c r="BV35" a="1"/>
  <c r="BV35" s="1"/>
  <c r="BM36"/>
  <c r="I36" s="1"/>
  <c r="BL36"/>
  <c r="H36" s="1"/>
  <c r="H34"/>
  <c r="CJ35" a="1"/>
  <c r="CJ35" s="1"/>
  <c r="CJ34" a="1"/>
  <c r="CJ34" s="1"/>
  <c r="CJ38"/>
  <c r="CO71"/>
  <c r="CO4" s="1"/>
  <c r="CV71"/>
  <c r="CV4" s="1"/>
  <c r="CW71"/>
  <c r="CW4" s="1"/>
  <c r="CH4"/>
  <c r="BO36"/>
  <c r="K36" s="1"/>
  <c r="K34"/>
  <c r="BU36"/>
  <c r="AL18"/>
  <c r="AJ6" s="1"/>
  <c r="CA36"/>
  <c r="CH36" i="57" l="1"/>
  <c r="CP34" i="56" a="1"/>
  <c r="CP34" s="1"/>
  <c r="CP39" a="1"/>
  <c r="CP39" s="1"/>
  <c r="CP37"/>
  <c r="CG36"/>
  <c r="CX36"/>
  <c r="CX38" i="57"/>
  <c r="CX39" a="1"/>
  <c r="CX39" s="1"/>
  <c r="CX35" a="1"/>
  <c r="CX35" s="1"/>
  <c r="CX37"/>
  <c r="CX34" a="1"/>
  <c r="CX34" s="1"/>
  <c r="CX36" s="1"/>
  <c r="CI38"/>
  <c r="CI39" a="1"/>
  <c r="CI39" s="1"/>
  <c r="CI37"/>
  <c r="CI34" a="1"/>
  <c r="CI34" s="1"/>
  <c r="CI36" s="1"/>
  <c r="CI35" a="1"/>
  <c r="CI35" s="1"/>
  <c r="CJ36"/>
  <c r="CO36"/>
  <c r="CQ36"/>
  <c r="CW39" a="1"/>
  <c r="CW39" s="1"/>
  <c r="CW35" a="1"/>
  <c r="CW35" s="1"/>
  <c r="CW38"/>
  <c r="CW34" a="1"/>
  <c r="CW34" s="1"/>
  <c r="CW36" s="1"/>
  <c r="CW37"/>
  <c r="CN38"/>
  <c r="CN37"/>
  <c r="CN35" a="1"/>
  <c r="CN35" s="1"/>
  <c r="CN34" a="1"/>
  <c r="CN34" s="1"/>
  <c r="CN39" a="1"/>
  <c r="CN39" s="1"/>
  <c r="CP39" a="1"/>
  <c r="CP39" s="1"/>
  <c r="CP37"/>
  <c r="CP38"/>
  <c r="CP35" a="1"/>
  <c r="CP35" s="1"/>
  <c r="CP34" a="1"/>
  <c r="CP34" s="1"/>
  <c r="CV36"/>
  <c r="CG37"/>
  <c r="CG38"/>
  <c r="CG35" a="1"/>
  <c r="CG35" s="1"/>
  <c r="CG34" a="1"/>
  <c r="CG34" s="1"/>
  <c r="CG39" a="1"/>
  <c r="CG39" s="1"/>
  <c r="CU34" a="1"/>
  <c r="CU34" s="1"/>
  <c r="CU35" a="1"/>
  <c r="CU35" s="1"/>
  <c r="CU38"/>
  <c r="CU37"/>
  <c r="CU39" a="1"/>
  <c r="CU39" s="1"/>
  <c r="CJ35" i="56" a="1"/>
  <c r="CJ35" s="1"/>
  <c r="CJ34" a="1"/>
  <c r="CJ34" s="1"/>
  <c r="CJ36" s="1"/>
  <c r="CJ39" a="1"/>
  <c r="CJ39" s="1"/>
  <c r="CJ38"/>
  <c r="CJ37"/>
  <c r="CU38"/>
  <c r="CU36" s="1"/>
  <c r="CU37"/>
  <c r="CU39" a="1"/>
  <c r="CU39" s="1"/>
  <c r="CQ35" a="1"/>
  <c r="CQ35" s="1"/>
  <c r="CI39" a="1"/>
  <c r="CI39" s="1"/>
  <c r="CI35" a="1"/>
  <c r="CI35" s="1"/>
  <c r="CQ39" a="1"/>
  <c r="CQ39" s="1"/>
  <c r="CP36"/>
  <c r="CO36"/>
  <c r="CQ36"/>
  <c r="CI36"/>
  <c r="AL18"/>
  <c r="AJ6" s="1"/>
  <c r="BU36"/>
  <c r="BV36"/>
  <c r="AM18"/>
  <c r="AJ18"/>
  <c r="AJ8" s="1"/>
  <c r="BS36"/>
  <c r="CN35" i="59" a="1"/>
  <c r="CN35" s="1"/>
  <c r="CN34" a="1"/>
  <c r="CN34" s="1"/>
  <c r="CN36" s="1"/>
  <c r="CJ39" i="55" a="1"/>
  <c r="CJ39" s="1"/>
  <c r="BV36"/>
  <c r="CI36" i="59"/>
  <c r="CX36"/>
  <c r="CJ36"/>
  <c r="BV36"/>
  <c r="AM18"/>
  <c r="BU36"/>
  <c r="AL18"/>
  <c r="AJ6" s="1"/>
  <c r="AJ18"/>
  <c r="AJ8" s="1"/>
  <c r="BS36"/>
  <c r="CG35" a="1"/>
  <c r="CG35" s="1"/>
  <c r="CG38"/>
  <c r="CG34" a="1"/>
  <c r="CG34" s="1"/>
  <c r="CG39" a="1"/>
  <c r="CG39" s="1"/>
  <c r="CO36"/>
  <c r="CG36" i="55"/>
  <c r="CO35" a="1"/>
  <c r="CO35" s="1"/>
  <c r="CO38"/>
  <c r="CO37"/>
  <c r="CO34" a="1"/>
  <c r="CO34" s="1"/>
  <c r="CO39" a="1"/>
  <c r="CO39" s="1"/>
  <c r="CU34" a="1"/>
  <c r="CU34" s="1"/>
  <c r="CU39" a="1"/>
  <c r="CU39" s="1"/>
  <c r="CU38"/>
  <c r="CU37"/>
  <c r="CU35" a="1"/>
  <c r="CU35" s="1"/>
  <c r="CV35" a="1"/>
  <c r="CV35" s="1"/>
  <c r="CV39" a="1"/>
  <c r="CV39" s="1"/>
  <c r="CV38"/>
  <c r="CV34" a="1"/>
  <c r="CV34" s="1"/>
  <c r="CV37"/>
  <c r="CJ36"/>
  <c r="CN36"/>
  <c r="CI38"/>
  <c r="CI37"/>
  <c r="CI35" a="1"/>
  <c r="CI35" s="1"/>
  <c r="CI34" a="1"/>
  <c r="CI34" s="1"/>
  <c r="CI39" a="1"/>
  <c r="CI39" s="1"/>
  <c r="CX38"/>
  <c r="CX37"/>
  <c r="CX35" a="1"/>
  <c r="CX35" s="1"/>
  <c r="CX34" a="1"/>
  <c r="CX34" s="1"/>
  <c r="CX39" a="1"/>
  <c r="CX39" s="1"/>
  <c r="CW34" a="1"/>
  <c r="CW34" s="1"/>
  <c r="CW39" a="1"/>
  <c r="CW39" s="1"/>
  <c r="CW38"/>
  <c r="CW35" a="1"/>
  <c r="CW35" s="1"/>
  <c r="CW37"/>
  <c r="BS36"/>
  <c r="AJ18"/>
  <c r="AJ8" s="1"/>
  <c r="BT36"/>
  <c r="AK18"/>
  <c r="AJ7" s="1"/>
  <c r="CP39" a="1"/>
  <c r="CP39" s="1"/>
  <c r="CP34" a="1"/>
  <c r="CP34" s="1"/>
  <c r="CP38"/>
  <c r="CP35" a="1"/>
  <c r="CP35" s="1"/>
  <c r="CP37"/>
  <c r="CH38"/>
  <c r="CH37"/>
  <c r="CH35" a="1"/>
  <c r="CH35" s="1"/>
  <c r="CH34" a="1"/>
  <c r="CH34" s="1"/>
  <c r="CH39" a="1"/>
  <c r="CH39" s="1"/>
  <c r="CQ36"/>
  <c r="CG36" i="57" l="1"/>
  <c r="CN36"/>
  <c r="CU36"/>
  <c r="CP36"/>
  <c r="CX36" i="55"/>
  <c r="CG36" i="59"/>
  <c r="CP36" i="55"/>
  <c r="CV36"/>
  <c r="CU36"/>
  <c r="CH36"/>
  <c r="CI36"/>
  <c r="CW36"/>
  <c r="CO36"/>
  <c r="BZ190" i="40"/>
  <c r="BB191"/>
  <c r="BB10" s="1"/>
  <c r="BA191"/>
  <c r="BA10" s="1"/>
  <c r="AZ191"/>
  <c r="AZ10" s="1"/>
  <c r="AY191"/>
  <c r="BB171"/>
  <c r="BB9" s="1"/>
  <c r="BA171"/>
  <c r="BA9" s="1"/>
  <c r="AZ171"/>
  <c r="AZ9" s="1"/>
  <c r="AY171"/>
  <c r="BB151"/>
  <c r="BB8" s="1"/>
  <c r="BA151"/>
  <c r="BA8" s="1"/>
  <c r="AZ151"/>
  <c r="AZ8" s="1"/>
  <c r="AY151"/>
  <c r="BB131"/>
  <c r="BB7" s="1"/>
  <c r="BA131"/>
  <c r="BA7" s="1"/>
  <c r="AZ131"/>
  <c r="AZ7" s="1"/>
  <c r="AY131"/>
  <c r="BB111"/>
  <c r="BB6" s="1"/>
  <c r="BA111"/>
  <c r="BA6" s="1"/>
  <c r="AZ111"/>
  <c r="AZ6" s="1"/>
  <c r="AY111"/>
  <c r="BB91"/>
  <c r="BB5" s="1"/>
  <c r="BA91"/>
  <c r="BA5" s="1"/>
  <c r="AZ91"/>
  <c r="AZ5" s="1"/>
  <c r="AY91"/>
  <c r="BB71"/>
  <c r="BB4" s="1"/>
  <c r="BA71"/>
  <c r="BA4" s="1"/>
  <c r="AZ71"/>
  <c r="AZ4" s="1"/>
  <c r="AY71"/>
  <c r="BB51"/>
  <c r="BB3" s="1"/>
  <c r="BA51"/>
  <c r="BA3" s="1"/>
  <c r="CA190"/>
  <c r="CB170"/>
  <c r="CC190"/>
  <c r="CC90" l="1"/>
  <c r="CC130"/>
  <c r="CC50"/>
  <c r="CA90"/>
  <c r="CC150"/>
  <c r="CA110"/>
  <c r="BZ130"/>
  <c r="BZ50"/>
  <c r="CC70"/>
  <c r="CC110"/>
  <c r="CC170"/>
  <c r="CB190"/>
  <c r="CB50"/>
  <c r="BZ70"/>
  <c r="BZ90"/>
  <c r="CB90"/>
  <c r="BZ110"/>
  <c r="CB110"/>
  <c r="CB130"/>
  <c r="BZ150"/>
  <c r="BZ170"/>
  <c r="CB70"/>
  <c r="CB150"/>
  <c r="CA70"/>
  <c r="CA130"/>
  <c r="CA150"/>
  <c r="CA50"/>
  <c r="CA170"/>
  <c r="BA34" a="1"/>
  <c r="BA34" s="1"/>
  <c r="BA35" a="1"/>
  <c r="BA35" s="1"/>
  <c r="BA37"/>
  <c r="BA38"/>
  <c r="BA39" a="1"/>
  <c r="BA39" s="1"/>
  <c r="BC8" i="49"/>
  <c r="BC7"/>
  <c r="BC6"/>
  <c r="BC5"/>
  <c r="BC4"/>
  <c r="BU1"/>
  <c r="BA3" l="1"/>
  <c r="BA3" i="61"/>
  <c r="BA36" i="40"/>
  <c r="CO1"/>
  <c r="CP1"/>
  <c r="CP33" s="1"/>
  <c r="CQ1"/>
  <c r="CH1"/>
  <c r="CH33" s="1"/>
  <c r="CI1"/>
  <c r="CI33" s="1"/>
  <c r="CJ1"/>
  <c r="CB33"/>
  <c r="CC33"/>
  <c r="BT1"/>
  <c r="BT33" s="1"/>
  <c r="BU1"/>
  <c r="BV1"/>
  <c r="BV33" s="1"/>
  <c r="BM1"/>
  <c r="BN1"/>
  <c r="BO1"/>
  <c r="AZ190"/>
  <c r="BA190"/>
  <c r="BB190"/>
  <c r="AZ170"/>
  <c r="BA170"/>
  <c r="BB170"/>
  <c r="AZ150"/>
  <c r="BA150"/>
  <c r="BB150"/>
  <c r="AZ130"/>
  <c r="BA130"/>
  <c r="BB130"/>
  <c r="AZ110"/>
  <c r="BA110"/>
  <c r="BB110"/>
  <c r="AZ90"/>
  <c r="BA90"/>
  <c r="BB90"/>
  <c r="AZ70"/>
  <c r="BA70"/>
  <c r="BB70"/>
  <c r="AZ50"/>
  <c r="BA50"/>
  <c r="BB50"/>
  <c r="AZ1"/>
  <c r="AZ33" s="1"/>
  <c r="BA1"/>
  <c r="BA33" s="1"/>
  <c r="BB1"/>
  <c r="BB33" s="1"/>
  <c r="AT1"/>
  <c r="AU1"/>
  <c r="AV1"/>
  <c r="AV33" s="1"/>
  <c r="H33"/>
  <c r="AK181"/>
  <c r="AL181"/>
  <c r="AM181"/>
  <c r="AJ181"/>
  <c r="AK161"/>
  <c r="AL161"/>
  <c r="AM161"/>
  <c r="AJ161"/>
  <c r="AK141"/>
  <c r="AL141"/>
  <c r="AM141"/>
  <c r="AJ141"/>
  <c r="AK121"/>
  <c r="AL121"/>
  <c r="AM121"/>
  <c r="AJ121"/>
  <c r="AK101"/>
  <c r="AL101"/>
  <c r="AM101"/>
  <c r="AJ101"/>
  <c r="AK81"/>
  <c r="AL81"/>
  <c r="AM81"/>
  <c r="AJ81"/>
  <c r="AK61"/>
  <c r="AL61"/>
  <c r="AM61"/>
  <c r="AJ61"/>
  <c r="AK41"/>
  <c r="AL41"/>
  <c r="AM41"/>
  <c r="AJ41"/>
  <c r="AK17"/>
  <c r="AL17"/>
  <c r="AM17"/>
  <c r="AJ17"/>
  <c r="H33" i="49"/>
  <c r="CV33"/>
  <c r="CW33"/>
  <c r="CX33"/>
  <c r="CO1"/>
  <c r="CO33" s="1"/>
  <c r="CP1"/>
  <c r="CP33" s="1"/>
  <c r="CQ1"/>
  <c r="CQ33" s="1"/>
  <c r="CH1"/>
  <c r="CH33" s="1"/>
  <c r="CI1"/>
  <c r="CI33" s="1"/>
  <c r="CJ1"/>
  <c r="CJ33" s="1"/>
  <c r="CA33"/>
  <c r="CB33"/>
  <c r="CC33"/>
  <c r="BT1"/>
  <c r="BT33" s="1"/>
  <c r="BU33"/>
  <c r="BV1"/>
  <c r="BV33" s="1"/>
  <c r="BM1"/>
  <c r="BM33" s="1"/>
  <c r="BN1"/>
  <c r="BN33" s="1"/>
  <c r="BO1"/>
  <c r="BO33" s="1"/>
  <c r="AZ1"/>
  <c r="AZ33" s="1"/>
  <c r="BA1"/>
  <c r="BA33" s="1"/>
  <c r="BB1"/>
  <c r="BB33" s="1"/>
  <c r="AT1"/>
  <c r="AT33" s="1"/>
  <c r="AU1"/>
  <c r="AU33" s="1"/>
  <c r="AV1"/>
  <c r="AV33" s="1"/>
  <c r="AM12"/>
  <c r="AA1" i="40"/>
  <c r="E32" i="49"/>
  <c r="E31"/>
  <c r="E30"/>
  <c r="E29"/>
  <c r="E28"/>
  <c r="E27"/>
  <c r="E26"/>
  <c r="E25"/>
  <c r="E24"/>
  <c r="E23"/>
  <c r="E22"/>
  <c r="B33"/>
  <c r="B32"/>
  <c r="D32"/>
  <c r="D31"/>
  <c r="D30"/>
  <c r="D29"/>
  <c r="D28"/>
  <c r="D27"/>
  <c r="D26"/>
  <c r="D25"/>
  <c r="D24"/>
  <c r="D23"/>
  <c r="D22"/>
  <c r="B1" i="40"/>
  <c r="D1"/>
  <c r="C1"/>
  <c r="E1"/>
  <c r="D9" i="4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B20"/>
  <c r="B19"/>
  <c r="B18"/>
  <c r="B17"/>
  <c r="B16"/>
  <c r="B15"/>
  <c r="B14"/>
  <c r="B13"/>
  <c r="B12"/>
  <c r="B11"/>
  <c r="B10"/>
  <c r="B9"/>
  <c r="BC3"/>
  <c r="B40"/>
  <c r="CT39"/>
  <c r="CM39"/>
  <c r="CF39"/>
  <c r="BY39"/>
  <c r="BR39"/>
  <c r="BK39"/>
  <c r="BG39"/>
  <c r="D39" s="1"/>
  <c r="AX39"/>
  <c r="CT38"/>
  <c r="CM38"/>
  <c r="CF38"/>
  <c r="BY38"/>
  <c r="BR38"/>
  <c r="BK38"/>
  <c r="BG38"/>
  <c r="D38" s="1"/>
  <c r="AX38"/>
  <c r="CT37"/>
  <c r="CM37"/>
  <c r="CF37"/>
  <c r="BY37"/>
  <c r="BR37"/>
  <c r="BK37"/>
  <c r="BG37"/>
  <c r="D37" s="1"/>
  <c r="AX37"/>
  <c r="BG36"/>
  <c r="D36" s="1"/>
  <c r="BG35"/>
  <c r="D35" s="1"/>
  <c r="CT34"/>
  <c r="CM34"/>
  <c r="CF34"/>
  <c r="BY34"/>
  <c r="BR34"/>
  <c r="AI13" s="1"/>
  <c r="BK34"/>
  <c r="BG34"/>
  <c r="D34" s="1"/>
  <c r="AX34"/>
  <c r="BI33"/>
  <c r="BH33"/>
  <c r="E33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U33"/>
  <c r="CT1"/>
  <c r="CS1"/>
  <c r="CN1"/>
  <c r="CN33" s="1"/>
  <c r="CM1"/>
  <c r="CL1"/>
  <c r="CG1"/>
  <c r="CG33" s="1"/>
  <c r="CF1"/>
  <c r="CE1"/>
  <c r="BZ33"/>
  <c r="BY1"/>
  <c r="BX1"/>
  <c r="BS1"/>
  <c r="BS33" s="1"/>
  <c r="BR1"/>
  <c r="BQ1"/>
  <c r="BL1"/>
  <c r="BL33" s="1"/>
  <c r="BK1"/>
  <c r="BJ1"/>
  <c r="AY1"/>
  <c r="AY33" s="1"/>
  <c r="AX1"/>
  <c r="AW1"/>
  <c r="AS1"/>
  <c r="AS33" s="1"/>
  <c r="AA1"/>
  <c r="CR1"/>
  <c r="BA37" i="61" l="1"/>
  <c r="BA39" a="1"/>
  <c r="BA39" s="1"/>
  <c r="BA38"/>
  <c r="BA34" a="1"/>
  <c r="BA34" s="1"/>
  <c r="BA35" a="1"/>
  <c r="BA35" s="1"/>
  <c r="BU170" i="40"/>
  <c r="BU130"/>
  <c r="BU90"/>
  <c r="BU50"/>
  <c r="BU190"/>
  <c r="BU150"/>
  <c r="BU70"/>
  <c r="BU110"/>
  <c r="CQ170"/>
  <c r="CQ130"/>
  <c r="CQ90"/>
  <c r="CQ50"/>
  <c r="CQ70"/>
  <c r="CQ190"/>
  <c r="CQ150"/>
  <c r="CQ110"/>
  <c r="CX170"/>
  <c r="CX130"/>
  <c r="CX90"/>
  <c r="CX50"/>
  <c r="CX70"/>
  <c r="CX190"/>
  <c r="CX150"/>
  <c r="CX110"/>
  <c r="CJ170"/>
  <c r="CJ130"/>
  <c r="CJ90"/>
  <c r="CJ50"/>
  <c r="CJ110"/>
  <c r="CJ70"/>
  <c r="CJ190"/>
  <c r="CJ150"/>
  <c r="AU190"/>
  <c r="AU150"/>
  <c r="AU110"/>
  <c r="AU70"/>
  <c r="AU170"/>
  <c r="AU130"/>
  <c r="AU90"/>
  <c r="AU50"/>
  <c r="CI190"/>
  <c r="CI150"/>
  <c r="CI110"/>
  <c r="CI70"/>
  <c r="CI90"/>
  <c r="CI50"/>
  <c r="CI170"/>
  <c r="CI130"/>
  <c r="AU33"/>
  <c r="CJ33"/>
  <c r="CX33"/>
  <c r="BN170"/>
  <c r="BN130"/>
  <c r="BN90"/>
  <c r="BN33"/>
  <c r="BN190"/>
  <c r="BN110"/>
  <c r="BN150"/>
  <c r="BN70"/>
  <c r="BN50"/>
  <c r="AV170"/>
  <c r="AV130"/>
  <c r="AV90"/>
  <c r="AV190"/>
  <c r="AV150"/>
  <c r="AV70"/>
  <c r="AV50"/>
  <c r="AV110"/>
  <c r="BO190"/>
  <c r="BO150"/>
  <c r="BO110"/>
  <c r="BO70"/>
  <c r="BO50"/>
  <c r="BO130"/>
  <c r="BO90"/>
  <c r="BO33"/>
  <c r="BO170"/>
  <c r="BV190"/>
  <c r="BV150"/>
  <c r="BV110"/>
  <c r="BV70"/>
  <c r="BV90"/>
  <c r="BV170"/>
  <c r="BV130"/>
  <c r="BV50"/>
  <c r="CP190"/>
  <c r="CP150"/>
  <c r="CP110"/>
  <c r="CP70"/>
  <c r="CP170"/>
  <c r="CP130"/>
  <c r="CP50"/>
  <c r="CP90"/>
  <c r="CW190"/>
  <c r="CW150"/>
  <c r="CW110"/>
  <c r="CW70"/>
  <c r="CW130"/>
  <c r="CW90"/>
  <c r="CW170"/>
  <c r="CW50"/>
  <c r="BU33"/>
  <c r="CQ33"/>
  <c r="CW33"/>
  <c r="CO130"/>
  <c r="CO50"/>
  <c r="CO150"/>
  <c r="CO70"/>
  <c r="CO190"/>
  <c r="CO110"/>
  <c r="CO170"/>
  <c r="CO90"/>
  <c r="CH130"/>
  <c r="CH50"/>
  <c r="CH150"/>
  <c r="CH70"/>
  <c r="CH190"/>
  <c r="CH110"/>
  <c r="CH170"/>
  <c r="CH90"/>
  <c r="CV130"/>
  <c r="CV50"/>
  <c r="CV150"/>
  <c r="CV70"/>
  <c r="CV190"/>
  <c r="CV110"/>
  <c r="CV170"/>
  <c r="CV90"/>
  <c r="CO33"/>
  <c r="AT150"/>
  <c r="AT70"/>
  <c r="AT130"/>
  <c r="AT110"/>
  <c r="AT170"/>
  <c r="AT90"/>
  <c r="AT50"/>
  <c r="AT190"/>
  <c r="BM130"/>
  <c r="BM33"/>
  <c r="BM190"/>
  <c r="BM50"/>
  <c r="BM150"/>
  <c r="BM70"/>
  <c r="BM110"/>
  <c r="BM170"/>
  <c r="BM90"/>
  <c r="BT130"/>
  <c r="BT50"/>
  <c r="BT110"/>
  <c r="BT170"/>
  <c r="BT90"/>
  <c r="BT150"/>
  <c r="BT70"/>
  <c r="BT190"/>
  <c r="AT33"/>
  <c r="E7" i="49"/>
  <c r="E6"/>
  <c r="E5"/>
  <c r="AP1"/>
  <c r="CD1"/>
  <c r="CR33"/>
  <c r="CY33"/>
  <c r="BP34"/>
  <c r="CK1"/>
  <c r="BP33"/>
  <c r="BW33"/>
  <c r="CD33"/>
  <c r="Z1"/>
  <c r="BP1"/>
  <c r="CY34"/>
  <c r="CK34"/>
  <c r="BW34"/>
  <c r="CK33"/>
  <c r="AP33"/>
  <c r="C33"/>
  <c r="BG33"/>
  <c r="AP34"/>
  <c r="CR34"/>
  <c r="BG1"/>
  <c r="CD34"/>
  <c r="BW1"/>
  <c r="CY1"/>
  <c r="E4"/>
  <c r="CU10" i="40"/>
  <c r="CU9"/>
  <c r="CU8"/>
  <c r="CU7"/>
  <c r="CU6"/>
  <c r="CU5"/>
  <c r="BZ10"/>
  <c r="BZ9"/>
  <c r="BZ8"/>
  <c r="BZ7"/>
  <c r="BZ6"/>
  <c r="BZ5"/>
  <c r="BG36"/>
  <c r="D36" s="1"/>
  <c r="BG35"/>
  <c r="D35" s="1"/>
  <c r="CT6"/>
  <c r="CS6"/>
  <c r="CM6"/>
  <c r="CL6"/>
  <c r="CF6"/>
  <c r="CE6"/>
  <c r="BY6"/>
  <c r="BX6"/>
  <c r="BR6"/>
  <c r="BQ6"/>
  <c r="BK6"/>
  <c r="BJ6"/>
  <c r="BC6"/>
  <c r="AR6"/>
  <c r="AQ6"/>
  <c r="CT5"/>
  <c r="CS5"/>
  <c r="CM5"/>
  <c r="CL5"/>
  <c r="CF5"/>
  <c r="CE5"/>
  <c r="BY5"/>
  <c r="BX5"/>
  <c r="BR5"/>
  <c r="BQ5"/>
  <c r="BK5"/>
  <c r="BJ5"/>
  <c r="BC5"/>
  <c r="AR5"/>
  <c r="AQ5"/>
  <c r="C42"/>
  <c r="C4" s="1"/>
  <c r="C182"/>
  <c r="C11" s="1"/>
  <c r="C162"/>
  <c r="C10" s="1"/>
  <c r="C142"/>
  <c r="C9" s="1"/>
  <c r="C122"/>
  <c r="C8" s="1"/>
  <c r="C102"/>
  <c r="C7" s="1"/>
  <c r="C82"/>
  <c r="C6" s="1"/>
  <c r="B184"/>
  <c r="AC183"/>
  <c r="B164"/>
  <c r="AC163"/>
  <c r="B144"/>
  <c r="AC143"/>
  <c r="B124"/>
  <c r="AC123"/>
  <c r="B104"/>
  <c r="AC103"/>
  <c r="AC83"/>
  <c r="AC63"/>
  <c r="B84"/>
  <c r="B120"/>
  <c r="CE120" s="1"/>
  <c r="B100"/>
  <c r="AQ100" s="1"/>
  <c r="B81"/>
  <c r="B6" s="1"/>
  <c r="G81"/>
  <c r="D82"/>
  <c r="D6" s="1"/>
  <c r="E82"/>
  <c r="G82"/>
  <c r="B83"/>
  <c r="BF91" s="1"/>
  <c r="BF5" s="1"/>
  <c r="G83"/>
  <c r="E84"/>
  <c r="G84"/>
  <c r="AW90"/>
  <c r="AX90"/>
  <c r="AY90"/>
  <c r="BJ90"/>
  <c r="BK90"/>
  <c r="BQ90"/>
  <c r="BR90"/>
  <c r="BX90"/>
  <c r="BY90"/>
  <c r="CE90"/>
  <c r="CF90"/>
  <c r="CL90"/>
  <c r="CM90"/>
  <c r="CS90"/>
  <c r="CT90"/>
  <c r="AW91"/>
  <c r="AW5" s="1"/>
  <c r="AX91"/>
  <c r="AX5" s="1"/>
  <c r="AY5"/>
  <c r="BD91"/>
  <c r="BD5" s="1"/>
  <c r="BI91"/>
  <c r="BI5" s="1"/>
  <c r="AS98"/>
  <c r="BL98" s="1"/>
  <c r="CA98" s="1"/>
  <c r="AT98"/>
  <c r="BM98" s="1"/>
  <c r="AV98"/>
  <c r="BO98" s="1"/>
  <c r="B101"/>
  <c r="B7" s="1"/>
  <c r="G101"/>
  <c r="D102"/>
  <c r="E102"/>
  <c r="G102"/>
  <c r="B103"/>
  <c r="BF111" s="1"/>
  <c r="BF6" s="1"/>
  <c r="G103"/>
  <c r="E104"/>
  <c r="G104"/>
  <c r="AW110"/>
  <c r="AX110"/>
  <c r="AY110"/>
  <c r="BJ110"/>
  <c r="BK110"/>
  <c r="BQ110"/>
  <c r="BR110"/>
  <c r="BX110"/>
  <c r="BY110"/>
  <c r="CE110"/>
  <c r="CF110"/>
  <c r="CL110"/>
  <c r="CM110"/>
  <c r="CS110"/>
  <c r="CT110"/>
  <c r="AW111"/>
  <c r="AW6" s="1"/>
  <c r="AX111"/>
  <c r="AX6" s="1"/>
  <c r="AY6"/>
  <c r="BD111"/>
  <c r="BD6" s="1"/>
  <c r="BI111"/>
  <c r="BI6" s="1"/>
  <c r="AS118"/>
  <c r="BL118" s="1"/>
  <c r="CA118" s="1"/>
  <c r="AT118"/>
  <c r="BM118" s="1"/>
  <c r="AV118"/>
  <c r="BO118" s="1"/>
  <c r="AX34"/>
  <c r="AX37"/>
  <c r="AX38"/>
  <c r="AX39"/>
  <c r="CT10"/>
  <c r="CS10"/>
  <c r="CM10"/>
  <c r="CL10"/>
  <c r="CF10"/>
  <c r="CE10"/>
  <c r="BY10"/>
  <c r="BX10"/>
  <c r="BR10"/>
  <c r="BQ10"/>
  <c r="BK10"/>
  <c r="BJ10"/>
  <c r="BC10"/>
  <c r="AR10"/>
  <c r="AQ10"/>
  <c r="CT9"/>
  <c r="CS9"/>
  <c r="CM9"/>
  <c r="CL9"/>
  <c r="CF9"/>
  <c r="CE9"/>
  <c r="BY9"/>
  <c r="BX9"/>
  <c r="BR9"/>
  <c r="BQ9"/>
  <c r="BK9"/>
  <c r="BJ9"/>
  <c r="BC9"/>
  <c r="AR9"/>
  <c r="AQ9"/>
  <c r="CT8"/>
  <c r="CS8"/>
  <c r="CM8"/>
  <c r="CL8"/>
  <c r="CF8"/>
  <c r="CE8"/>
  <c r="BY8"/>
  <c r="BX8"/>
  <c r="BR8"/>
  <c r="BQ8"/>
  <c r="BK8"/>
  <c r="BJ8"/>
  <c r="BC8"/>
  <c r="AR8"/>
  <c r="AQ8"/>
  <c r="CT7"/>
  <c r="CS7"/>
  <c r="CM7"/>
  <c r="CL7"/>
  <c r="CF7"/>
  <c r="CE7"/>
  <c r="BY7"/>
  <c r="BX7"/>
  <c r="BR7"/>
  <c r="BQ7"/>
  <c r="BK7"/>
  <c r="BJ7"/>
  <c r="BC7"/>
  <c r="AR7"/>
  <c r="AQ7"/>
  <c r="B200"/>
  <c r="CS200" s="1"/>
  <c r="B180"/>
  <c r="CS180" s="1"/>
  <c r="B160"/>
  <c r="BX160" s="1"/>
  <c r="B140"/>
  <c r="BX140" s="1"/>
  <c r="B121"/>
  <c r="B8" s="1"/>
  <c r="G121"/>
  <c r="D122"/>
  <c r="E122"/>
  <c r="G122"/>
  <c r="B123"/>
  <c r="BF131" s="1"/>
  <c r="BF7" s="1"/>
  <c r="G123"/>
  <c r="E124"/>
  <c r="G124"/>
  <c r="AW130"/>
  <c r="AX130"/>
  <c r="AY130"/>
  <c r="BJ130"/>
  <c r="BK130"/>
  <c r="BQ130"/>
  <c r="BR130"/>
  <c r="BX130"/>
  <c r="BY130"/>
  <c r="CE130"/>
  <c r="CF130"/>
  <c r="CL130"/>
  <c r="CM130"/>
  <c r="CS130"/>
  <c r="CT130"/>
  <c r="AW131"/>
  <c r="AW7" s="1"/>
  <c r="AX131"/>
  <c r="AX7" s="1"/>
  <c r="AY7"/>
  <c r="BD131"/>
  <c r="BD7" s="1"/>
  <c r="BI131"/>
  <c r="BI7" s="1"/>
  <c r="AS138"/>
  <c r="BL138" s="1"/>
  <c r="CA138" s="1"/>
  <c r="AT138"/>
  <c r="BM138" s="1"/>
  <c r="AV138"/>
  <c r="BO138" s="1"/>
  <c r="B141"/>
  <c r="B9" s="1"/>
  <c r="G141"/>
  <c r="D142"/>
  <c r="E142"/>
  <c r="G142"/>
  <c r="B143"/>
  <c r="BF151" s="1"/>
  <c r="BF8" s="1"/>
  <c r="G143"/>
  <c r="E144"/>
  <c r="G144"/>
  <c r="AW150"/>
  <c r="AX150"/>
  <c r="AY150"/>
  <c r="BJ150"/>
  <c r="BK150"/>
  <c r="BQ150"/>
  <c r="BR150"/>
  <c r="BX150"/>
  <c r="BY150"/>
  <c r="CE150"/>
  <c r="CF150"/>
  <c r="CL150"/>
  <c r="CM150"/>
  <c r="CS150"/>
  <c r="CT150"/>
  <c r="AW151"/>
  <c r="AW8" s="1"/>
  <c r="AX151"/>
  <c r="AX8" s="1"/>
  <c r="AY8"/>
  <c r="BD151"/>
  <c r="BD8" s="1"/>
  <c r="BI151"/>
  <c r="BI8" s="1"/>
  <c r="AS158"/>
  <c r="BL158" s="1"/>
  <c r="CA158" s="1"/>
  <c r="AT158"/>
  <c r="BM158" s="1"/>
  <c r="AV158"/>
  <c r="BO158" s="1"/>
  <c r="B161"/>
  <c r="B10" s="1"/>
  <c r="G161"/>
  <c r="D162"/>
  <c r="E162"/>
  <c r="G162"/>
  <c r="B163"/>
  <c r="BF171" s="1"/>
  <c r="BF9" s="1"/>
  <c r="G163"/>
  <c r="E164"/>
  <c r="G164"/>
  <c r="AW170"/>
  <c r="AX170"/>
  <c r="AY170"/>
  <c r="BJ170"/>
  <c r="BK170"/>
  <c r="BQ170"/>
  <c r="BR170"/>
  <c r="BX170"/>
  <c r="BY170"/>
  <c r="CE170"/>
  <c r="CF170"/>
  <c r="CL170"/>
  <c r="CM170"/>
  <c r="CS170"/>
  <c r="CT170"/>
  <c r="AS171"/>
  <c r="AW171"/>
  <c r="AW9" s="1"/>
  <c r="AX171"/>
  <c r="AX9" s="1"/>
  <c r="AY9"/>
  <c r="BD171"/>
  <c r="BD9" s="1"/>
  <c r="BI171"/>
  <c r="BI9" s="1"/>
  <c r="AS178"/>
  <c r="BL178" s="1"/>
  <c r="CA178" s="1"/>
  <c r="AT178"/>
  <c r="BM178" s="1"/>
  <c r="AV178"/>
  <c r="BO178" s="1"/>
  <c r="B181"/>
  <c r="B11" s="1"/>
  <c r="G181"/>
  <c r="D182"/>
  <c r="E182"/>
  <c r="G182"/>
  <c r="B183"/>
  <c r="BF191" s="1"/>
  <c r="BF10" s="1"/>
  <c r="G183"/>
  <c r="E184"/>
  <c r="G184"/>
  <c r="AW190"/>
  <c r="AX190"/>
  <c r="AY190"/>
  <c r="BJ190"/>
  <c r="BK190"/>
  <c r="BQ190"/>
  <c r="BR190"/>
  <c r="BX190"/>
  <c r="BY190"/>
  <c r="CE190"/>
  <c r="CF190"/>
  <c r="CL190"/>
  <c r="CM190"/>
  <c r="CS190"/>
  <c r="CT190"/>
  <c r="AW191"/>
  <c r="AW10" s="1"/>
  <c r="AX191"/>
  <c r="AX10" s="1"/>
  <c r="AY10"/>
  <c r="BD191"/>
  <c r="BD10" s="1"/>
  <c r="BI191"/>
  <c r="BI10" s="1"/>
  <c r="AS198"/>
  <c r="BL198" s="1"/>
  <c r="CA198" s="1"/>
  <c r="AT198"/>
  <c r="BM198" s="1"/>
  <c r="AV198"/>
  <c r="BO198" s="1"/>
  <c r="CT4"/>
  <c r="CS4"/>
  <c r="CM4"/>
  <c r="CL4"/>
  <c r="CF4"/>
  <c r="CE4"/>
  <c r="BY4"/>
  <c r="BX4"/>
  <c r="BR4"/>
  <c r="BQ4"/>
  <c r="BK4"/>
  <c r="BJ4"/>
  <c r="BC4"/>
  <c r="AR4"/>
  <c r="AQ4"/>
  <c r="B44"/>
  <c r="B80"/>
  <c r="AQ80" s="1"/>
  <c r="B61"/>
  <c r="B5" s="1"/>
  <c r="C62"/>
  <c r="C5" s="1"/>
  <c r="G61"/>
  <c r="D62"/>
  <c r="G62"/>
  <c r="B63"/>
  <c r="BF71" s="1"/>
  <c r="BF4" s="1"/>
  <c r="G63"/>
  <c r="E64"/>
  <c r="G64"/>
  <c r="B64"/>
  <c r="AW70"/>
  <c r="AX70"/>
  <c r="AY70"/>
  <c r="BJ70"/>
  <c r="BK70"/>
  <c r="BQ70"/>
  <c r="BR70"/>
  <c r="BX70"/>
  <c r="BY70"/>
  <c r="CE70"/>
  <c r="CF70"/>
  <c r="CL70"/>
  <c r="CM70"/>
  <c r="CS70"/>
  <c r="CT70"/>
  <c r="AW71"/>
  <c r="AW4" s="1"/>
  <c r="AX71"/>
  <c r="AX4" s="1"/>
  <c r="AY4"/>
  <c r="BD71"/>
  <c r="BD4" s="1"/>
  <c r="BI71"/>
  <c r="BI4" s="1"/>
  <c r="AS78"/>
  <c r="BL78" s="1"/>
  <c r="CA78" s="1"/>
  <c r="AT78"/>
  <c r="BM78" s="1"/>
  <c r="AV78"/>
  <c r="BO78" s="1"/>
  <c r="B60"/>
  <c r="CE60" s="1"/>
  <c r="AV58"/>
  <c r="BO58" s="1"/>
  <c r="AT58"/>
  <c r="BM58" s="1"/>
  <c r="AS58"/>
  <c r="BL58" s="1"/>
  <c r="CA58" s="1"/>
  <c r="BI51"/>
  <c r="BI3" s="1"/>
  <c r="BD51"/>
  <c r="BD3" s="1"/>
  <c r="AZ51"/>
  <c r="AZ3" s="1"/>
  <c r="AY51"/>
  <c r="AY3" s="1"/>
  <c r="AX51"/>
  <c r="AX3" s="1"/>
  <c r="AW51"/>
  <c r="AW3" s="1"/>
  <c r="CT50"/>
  <c r="CS50"/>
  <c r="CM50"/>
  <c r="CL50"/>
  <c r="CF50"/>
  <c r="CE50"/>
  <c r="BY50"/>
  <c r="BX50"/>
  <c r="BR50"/>
  <c r="BQ50"/>
  <c r="BK50"/>
  <c r="BJ50"/>
  <c r="AY50"/>
  <c r="AX50"/>
  <c r="AW50"/>
  <c r="G44"/>
  <c r="E44"/>
  <c r="AC43"/>
  <c r="G43"/>
  <c r="B43"/>
  <c r="BF51" s="1"/>
  <c r="BF3" s="1"/>
  <c r="G42"/>
  <c r="E42"/>
  <c r="BW51" s="1"/>
  <c r="D42"/>
  <c r="G41"/>
  <c r="B41"/>
  <c r="B4" s="1"/>
  <c r="B40"/>
  <c r="CT37"/>
  <c r="CM37"/>
  <c r="CF37"/>
  <c r="BY37"/>
  <c r="BR37"/>
  <c r="BK37"/>
  <c r="BG37"/>
  <c r="D37" s="1"/>
  <c r="CT39"/>
  <c r="CM39"/>
  <c r="CF39"/>
  <c r="BY39"/>
  <c r="BR39"/>
  <c r="BK39"/>
  <c r="BG39"/>
  <c r="D39" s="1"/>
  <c r="CT38"/>
  <c r="CM38"/>
  <c r="CF38"/>
  <c r="BY38"/>
  <c r="BR38"/>
  <c r="BK38"/>
  <c r="BG38"/>
  <c r="D38" s="1"/>
  <c r="CT34"/>
  <c r="CM34"/>
  <c r="CF34"/>
  <c r="BY34"/>
  <c r="BR34"/>
  <c r="BK34"/>
  <c r="BK33" i="49" s="1"/>
  <c r="G33" s="1"/>
  <c r="BG34" i="40"/>
  <c r="BI33"/>
  <c r="BH33"/>
  <c r="E33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T3"/>
  <c r="CT33" s="1"/>
  <c r="CS3"/>
  <c r="CS33" s="1"/>
  <c r="CS34" s="1"/>
  <c r="CM3"/>
  <c r="CM33" s="1"/>
  <c r="CL3"/>
  <c r="CL33" s="1"/>
  <c r="CL34" s="1"/>
  <c r="CF3"/>
  <c r="CF33" s="1"/>
  <c r="CE3"/>
  <c r="CE33" s="1"/>
  <c r="CE34" s="1"/>
  <c r="BY3"/>
  <c r="BY33" s="1"/>
  <c r="BX3"/>
  <c r="BX33" s="1"/>
  <c r="BX34" s="1"/>
  <c r="BR3"/>
  <c r="BR33" s="1"/>
  <c r="AI17" s="1"/>
  <c r="BQ3"/>
  <c r="BQ33" s="1"/>
  <c r="BQ34" s="1"/>
  <c r="BK3"/>
  <c r="BK33" s="1"/>
  <c r="G33" s="1"/>
  <c r="BJ3"/>
  <c r="BJ33" s="1"/>
  <c r="F33" s="1"/>
  <c r="BC3"/>
  <c r="AR3"/>
  <c r="AQ3"/>
  <c r="CT1"/>
  <c r="CS1"/>
  <c r="CN1"/>
  <c r="CM1"/>
  <c r="CL1"/>
  <c r="CG1"/>
  <c r="CF1"/>
  <c r="CE1"/>
  <c r="BY1"/>
  <c r="BX1"/>
  <c r="BS1"/>
  <c r="BR1"/>
  <c r="BQ1"/>
  <c r="BL1"/>
  <c r="BK1"/>
  <c r="BJ1"/>
  <c r="AY1"/>
  <c r="AY33" s="1"/>
  <c r="AX1"/>
  <c r="AW1"/>
  <c r="AS1"/>
  <c r="AS50" s="1"/>
  <c r="B2"/>
  <c r="AP33"/>
  <c r="B33"/>
  <c r="BA36" i="61" l="1"/>
  <c r="AS51" i="40"/>
  <c r="AS3" s="1"/>
  <c r="BE91"/>
  <c r="BE5" s="1"/>
  <c r="B32"/>
  <c r="AZ35" a="1"/>
  <c r="AZ35" s="1"/>
  <c r="AZ34" a="1"/>
  <c r="AZ34" s="1"/>
  <c r="BB35" a="1"/>
  <c r="BB35" s="1"/>
  <c r="BB34" a="1"/>
  <c r="BB34" s="1"/>
  <c r="AV51"/>
  <c r="AV3" s="1"/>
  <c r="BL190"/>
  <c r="BL170"/>
  <c r="BL150"/>
  <c r="BL130"/>
  <c r="BL110"/>
  <c r="BL90"/>
  <c r="BL70"/>
  <c r="BL33"/>
  <c r="BL50"/>
  <c r="CN33"/>
  <c r="CN190"/>
  <c r="CN170"/>
  <c r="CN150"/>
  <c r="CN130"/>
  <c r="CN110"/>
  <c r="CN90"/>
  <c r="CN70"/>
  <c r="CN50"/>
  <c r="CU190"/>
  <c r="CU170"/>
  <c r="CU150"/>
  <c r="CU130"/>
  <c r="CU110"/>
  <c r="CU90"/>
  <c r="CU70"/>
  <c r="CU50"/>
  <c r="BS33"/>
  <c r="BS190"/>
  <c r="BS170"/>
  <c r="BS150"/>
  <c r="BS130"/>
  <c r="BS110"/>
  <c r="BS90"/>
  <c r="BS70"/>
  <c r="BS50"/>
  <c r="AS130"/>
  <c r="AS33"/>
  <c r="AS190"/>
  <c r="AS170"/>
  <c r="AS150"/>
  <c r="AS110"/>
  <c r="AS90"/>
  <c r="AS70"/>
  <c r="CG33"/>
  <c r="CG190"/>
  <c r="CG170"/>
  <c r="CG150"/>
  <c r="CG130"/>
  <c r="CG110"/>
  <c r="CG90"/>
  <c r="CG70"/>
  <c r="CG50"/>
  <c r="AT191"/>
  <c r="AT10" s="1"/>
  <c r="AU191"/>
  <c r="AU10" s="1"/>
  <c r="AV191"/>
  <c r="AV10" s="1"/>
  <c r="CK191"/>
  <c r="CR191"/>
  <c r="CD191"/>
  <c r="AU171"/>
  <c r="AU9" s="1"/>
  <c r="AT171"/>
  <c r="AT9" s="1"/>
  <c r="AV171"/>
  <c r="AV9" s="1"/>
  <c r="E10"/>
  <c r="CK171"/>
  <c r="CR171"/>
  <c r="CD171"/>
  <c r="AV151"/>
  <c r="AV8" s="1"/>
  <c r="AT151"/>
  <c r="AT8" s="1"/>
  <c r="AU151"/>
  <c r="AU8" s="1"/>
  <c r="E9"/>
  <c r="CD151"/>
  <c r="CR151"/>
  <c r="CK151"/>
  <c r="AU131"/>
  <c r="AU7" s="1"/>
  <c r="AV131"/>
  <c r="AV7" s="1"/>
  <c r="AT131"/>
  <c r="AT7" s="1"/>
  <c r="E8"/>
  <c r="CK131"/>
  <c r="CR131"/>
  <c r="CD131"/>
  <c r="AS131"/>
  <c r="AS7" s="1"/>
  <c r="AV111"/>
  <c r="AV6" s="1"/>
  <c r="AT111"/>
  <c r="AT6" s="1"/>
  <c r="AU111"/>
  <c r="AU6" s="1"/>
  <c r="CD111"/>
  <c r="CR111"/>
  <c r="CK111"/>
  <c r="CK91"/>
  <c r="CD91"/>
  <c r="CR91"/>
  <c r="AU91"/>
  <c r="AU5" s="1"/>
  <c r="AT91"/>
  <c r="AT5" s="1"/>
  <c r="AV91"/>
  <c r="AV5" s="1"/>
  <c r="CD71"/>
  <c r="CR71"/>
  <c r="CK71"/>
  <c r="AV71"/>
  <c r="AV4" s="1"/>
  <c r="AT71"/>
  <c r="AT4" s="1"/>
  <c r="AU71"/>
  <c r="AU4" s="1"/>
  <c r="AT51"/>
  <c r="AT3" s="1"/>
  <c r="AU51"/>
  <c r="AU3" s="1"/>
  <c r="AZ37"/>
  <c r="AZ38"/>
  <c r="AZ39" a="1"/>
  <c r="AZ39" s="1"/>
  <c r="BB39" a="1"/>
  <c r="BB39" s="1"/>
  <c r="BB37"/>
  <c r="BB38"/>
  <c r="CM33" i="49"/>
  <c r="CF33"/>
  <c r="BY33"/>
  <c r="BX33"/>
  <c r="BX34" s="1"/>
  <c r="CL33"/>
  <c r="CL34" s="1"/>
  <c r="BQ33"/>
  <c r="BQ34" s="1"/>
  <c r="CE33"/>
  <c r="CE34" s="1"/>
  <c r="CS33"/>
  <c r="CS34" s="1"/>
  <c r="CT33"/>
  <c r="E83" i="40"/>
  <c r="AS151"/>
  <c r="AS111"/>
  <c r="AS6" s="1"/>
  <c r="BI35" a="1"/>
  <c r="BI35" s="1"/>
  <c r="E35" s="1"/>
  <c r="BI34" a="1"/>
  <c r="BI34" s="1"/>
  <c r="F10"/>
  <c r="BE151"/>
  <c r="BE8" s="1"/>
  <c r="D9"/>
  <c r="F8"/>
  <c r="CA33"/>
  <c r="BP51"/>
  <c r="Z62"/>
  <c r="BE131"/>
  <c r="BE7" s="1"/>
  <c r="D8"/>
  <c r="F7"/>
  <c r="F6"/>
  <c r="CV33"/>
  <c r="AI18"/>
  <c r="BR33" i="49"/>
  <c r="AI12" s="1"/>
  <c r="F4" i="40"/>
  <c r="F5"/>
  <c r="Z182"/>
  <c r="E11"/>
  <c r="F9"/>
  <c r="AP111"/>
  <c r="BP6" s="1"/>
  <c r="E7"/>
  <c r="A82"/>
  <c r="E6"/>
  <c r="CU33"/>
  <c r="BE71"/>
  <c r="BE4" s="1"/>
  <c r="D5"/>
  <c r="D34"/>
  <c r="BG3" i="49"/>
  <c r="F11" i="40"/>
  <c r="BE171"/>
  <c r="BE9" s="1"/>
  <c r="D10"/>
  <c r="BZ33"/>
  <c r="BE51"/>
  <c r="BE3" s="1"/>
  <c r="D4"/>
  <c r="BE191"/>
  <c r="BE10" s="1"/>
  <c r="D11"/>
  <c r="BE111"/>
  <c r="BE6" s="1"/>
  <c r="D7"/>
  <c r="E8" i="49"/>
  <c r="BG91" i="40"/>
  <c r="AP91"/>
  <c r="BW5" s="1"/>
  <c r="AY38"/>
  <c r="AY39" a="1"/>
  <c r="AY39" s="1"/>
  <c r="AY35" a="1"/>
  <c r="AY35" s="1"/>
  <c r="AY34" a="1"/>
  <c r="AY34" s="1"/>
  <c r="AY3" i="61" s="1"/>
  <c r="AP171" i="40"/>
  <c r="CK9" s="1"/>
  <c r="Z142"/>
  <c r="AS9"/>
  <c r="AP131"/>
  <c r="CD7" s="1"/>
  <c r="BG71"/>
  <c r="AH120"/>
  <c r="A122"/>
  <c r="BG111"/>
  <c r="A102"/>
  <c r="E103"/>
  <c r="BW91"/>
  <c r="BP91"/>
  <c r="Z82"/>
  <c r="BQ120"/>
  <c r="CS120"/>
  <c r="BJ120"/>
  <c r="CL120"/>
  <c r="AQ120"/>
  <c r="AS91"/>
  <c r="AS5" s="1"/>
  <c r="BX120"/>
  <c r="BW111"/>
  <c r="Z102"/>
  <c r="CL100"/>
  <c r="BJ100"/>
  <c r="CS100"/>
  <c r="BQ100"/>
  <c r="BX100"/>
  <c r="AH100"/>
  <c r="BP111"/>
  <c r="CE100"/>
  <c r="AS71"/>
  <c r="AS4" s="1"/>
  <c r="A142"/>
  <c r="A42"/>
  <c r="A162"/>
  <c r="A62"/>
  <c r="A182"/>
  <c r="BI38"/>
  <c r="E38" s="1"/>
  <c r="AY37"/>
  <c r="BI39"/>
  <c r="E39" s="1"/>
  <c r="BI37"/>
  <c r="E183"/>
  <c r="E143"/>
  <c r="BP151"/>
  <c r="BW71"/>
  <c r="BJ140"/>
  <c r="BJ34"/>
  <c r="BJ33" i="49" s="1"/>
  <c r="AP151" i="40"/>
  <c r="CY8" s="1"/>
  <c r="E123"/>
  <c r="BJ200"/>
  <c r="BP71"/>
  <c r="E163"/>
  <c r="BP131"/>
  <c r="BW131"/>
  <c r="BW171"/>
  <c r="BP171"/>
  <c r="BP191"/>
  <c r="AP191"/>
  <c r="AS191"/>
  <c r="AS10" s="1"/>
  <c r="BJ180"/>
  <c r="BX180"/>
  <c r="CS140"/>
  <c r="BQ200"/>
  <c r="BJ160"/>
  <c r="BQ160"/>
  <c r="BX200"/>
  <c r="AH200"/>
  <c r="CE200"/>
  <c r="AQ200"/>
  <c r="AH180"/>
  <c r="CE160"/>
  <c r="AH160"/>
  <c r="AH140"/>
  <c r="CL200"/>
  <c r="BQ180"/>
  <c r="CS160"/>
  <c r="AQ160"/>
  <c r="BQ140"/>
  <c r="E63"/>
  <c r="BW191"/>
  <c r="CE180"/>
  <c r="AQ180"/>
  <c r="BG171"/>
  <c r="Z162"/>
  <c r="CL160"/>
  <c r="BW151"/>
  <c r="CE140"/>
  <c r="AQ140"/>
  <c r="BG131"/>
  <c r="Z122"/>
  <c r="BG191"/>
  <c r="CL180"/>
  <c r="BG151"/>
  <c r="CL140"/>
  <c r="AP71"/>
  <c r="BX80"/>
  <c r="AH80"/>
  <c r="CL80"/>
  <c r="BJ80"/>
  <c r="CS80"/>
  <c r="BQ80"/>
  <c r="CE80"/>
  <c r="BF33"/>
  <c r="BF34" s="1"/>
  <c r="AH60"/>
  <c r="Z42"/>
  <c r="CD1"/>
  <c r="E43"/>
  <c r="BW34"/>
  <c r="BQ60"/>
  <c r="CR51"/>
  <c r="BX60"/>
  <c r="CK34"/>
  <c r="BP34"/>
  <c r="BP3" i="61" s="1"/>
  <c r="AP34" i="40"/>
  <c r="CD33"/>
  <c r="CY1"/>
  <c r="BW1"/>
  <c r="CR33"/>
  <c r="BP33"/>
  <c r="CK1"/>
  <c r="CY34"/>
  <c r="CD34"/>
  <c r="CY33"/>
  <c r="BW33"/>
  <c r="BG33"/>
  <c r="CR1"/>
  <c r="BP1"/>
  <c r="Z1"/>
  <c r="BG1"/>
  <c r="AP1"/>
  <c r="C33"/>
  <c r="CK33"/>
  <c r="CR34"/>
  <c r="BG51"/>
  <c r="CK51"/>
  <c r="CS60"/>
  <c r="CD51"/>
  <c r="BJ60"/>
  <c r="CL60"/>
  <c r="AP51"/>
  <c r="BP3" s="1"/>
  <c r="AQ60"/>
  <c r="BF3" i="49" l="1"/>
  <c r="B3" s="1"/>
  <c r="AZ3"/>
  <c r="AZ3" i="61"/>
  <c r="AP3" i="49"/>
  <c r="E3" s="1"/>
  <c r="E3" i="61"/>
  <c r="BI39"/>
  <c r="E39" s="1"/>
  <c r="BI34" a="1"/>
  <c r="BI34" s="1"/>
  <c r="BI35" a="1"/>
  <c r="BI35" s="1"/>
  <c r="E35" s="1"/>
  <c r="BI37"/>
  <c r="BI38"/>
  <c r="E38" s="1"/>
  <c r="AY38"/>
  <c r="AY34" a="1"/>
  <c r="AY34" s="1"/>
  <c r="AY37"/>
  <c r="AY39" a="1"/>
  <c r="AY39" s="1"/>
  <c r="AY35" a="1"/>
  <c r="AY35" s="1"/>
  <c r="BB3" i="49"/>
  <c r="BB3" i="61"/>
  <c r="AK43" i="40"/>
  <c r="BM51" s="1"/>
  <c r="CA51" s="1"/>
  <c r="AL43"/>
  <c r="BN51" s="1"/>
  <c r="AM43"/>
  <c r="BO51" s="1"/>
  <c r="AR49" s="1"/>
  <c r="AJ43"/>
  <c r="BL51" s="1"/>
  <c r="AL163"/>
  <c r="AJ163"/>
  <c r="AM163"/>
  <c r="AK163"/>
  <c r="AM123"/>
  <c r="AJ123"/>
  <c r="AK123"/>
  <c r="AL123"/>
  <c r="AL183"/>
  <c r="AM183"/>
  <c r="AJ183"/>
  <c r="AK183"/>
  <c r="CK5"/>
  <c r="AK143"/>
  <c r="AM143"/>
  <c r="AJ143"/>
  <c r="AL143"/>
  <c r="AM103"/>
  <c r="AJ103"/>
  <c r="AK103"/>
  <c r="AL103"/>
  <c r="AL83"/>
  <c r="AK83"/>
  <c r="AM83"/>
  <c r="AJ83"/>
  <c r="AJ63"/>
  <c r="BL71" s="1"/>
  <c r="AK63"/>
  <c r="BM71" s="1"/>
  <c r="AL63"/>
  <c r="BN71" s="1"/>
  <c r="AM63"/>
  <c r="BO71" s="1"/>
  <c r="AZ36"/>
  <c r="BB36"/>
  <c r="BL191"/>
  <c r="BO191"/>
  <c r="BM191"/>
  <c r="BN191"/>
  <c r="BN171"/>
  <c r="BL171"/>
  <c r="BO171"/>
  <c r="BM171"/>
  <c r="BO151"/>
  <c r="BN151"/>
  <c r="BM151"/>
  <c r="BL131"/>
  <c r="BM131"/>
  <c r="BN131"/>
  <c r="BO131"/>
  <c r="BN111"/>
  <c r="BM111"/>
  <c r="CB6"/>
  <c r="BO111"/>
  <c r="BN91"/>
  <c r="BO91"/>
  <c r="CB5"/>
  <c r="BM91"/>
  <c r="CK3" i="49"/>
  <c r="CY3"/>
  <c r="BP3"/>
  <c r="CD3"/>
  <c r="BW3"/>
  <c r="AY3"/>
  <c r="AY39" s="1" a="1"/>
  <c r="AY39" s="1"/>
  <c r="BA35" a="1"/>
  <c r="BA35" s="1"/>
  <c r="BA38"/>
  <c r="BA34" a="1"/>
  <c r="BA34" s="1"/>
  <c r="BA37"/>
  <c r="BA39" a="1"/>
  <c r="BA39" s="1"/>
  <c r="BW6" i="40"/>
  <c r="AS8"/>
  <c r="AS39" s="1" a="1"/>
  <c r="AS39" s="1"/>
  <c r="BL151"/>
  <c r="BL111"/>
  <c r="AP5"/>
  <c r="CD9"/>
  <c r="CR7"/>
  <c r="CR6"/>
  <c r="CK6"/>
  <c r="BJ34" i="49"/>
  <c r="F33"/>
  <c r="BI3"/>
  <c r="BI36" i="40"/>
  <c r="E36" s="1"/>
  <c r="CY7"/>
  <c r="CD6"/>
  <c r="CY6"/>
  <c r="CK7"/>
  <c r="BG6"/>
  <c r="AP6"/>
  <c r="AP9"/>
  <c r="CY9"/>
  <c r="BP9"/>
  <c r="CY5"/>
  <c r="BG5"/>
  <c r="BP5"/>
  <c r="CD5"/>
  <c r="CR5"/>
  <c r="BW9"/>
  <c r="BG9"/>
  <c r="CR9"/>
  <c r="BW7"/>
  <c r="BP7"/>
  <c r="AP7"/>
  <c r="BG7"/>
  <c r="BL91"/>
  <c r="AY36"/>
  <c r="CK8"/>
  <c r="BG8"/>
  <c r="BW8"/>
  <c r="AP8"/>
  <c r="BP8"/>
  <c r="CR8"/>
  <c r="CD8"/>
  <c r="E34"/>
  <c r="CK10"/>
  <c r="CY10"/>
  <c r="CR10"/>
  <c r="CD10"/>
  <c r="BW10"/>
  <c r="BP10"/>
  <c r="BG10"/>
  <c r="AP10"/>
  <c r="CK4"/>
  <c r="CD4"/>
  <c r="CY4"/>
  <c r="BW4"/>
  <c r="AP4"/>
  <c r="CR4"/>
  <c r="BP4"/>
  <c r="BG4"/>
  <c r="CD3"/>
  <c r="BG3"/>
  <c r="CY3"/>
  <c r="BW3"/>
  <c r="AP3"/>
  <c r="CR3"/>
  <c r="CK3"/>
  <c r="AY36" i="61" l="1"/>
  <c r="CA71" i="40"/>
  <c r="CA4" s="1"/>
  <c r="CB71"/>
  <c r="CB4" s="1"/>
  <c r="CC71"/>
  <c r="BZ71"/>
  <c r="BZ4" s="1"/>
  <c r="BB39" i="61" a="1"/>
  <c r="BB39" s="1"/>
  <c r="BB37"/>
  <c r="BB34" a="1"/>
  <c r="BB34" s="1"/>
  <c r="BB38"/>
  <c r="BB35" a="1"/>
  <c r="BB35" s="1"/>
  <c r="BH38"/>
  <c r="BH39"/>
  <c r="BH34"/>
  <c r="E37"/>
  <c r="D1" s="1"/>
  <c r="AQ49" i="40"/>
  <c r="BZ51"/>
  <c r="BZ3" s="1"/>
  <c r="E34" i="61"/>
  <c r="BI36"/>
  <c r="E36" s="1"/>
  <c r="AZ39" a="1"/>
  <c r="AZ39" s="1"/>
  <c r="AZ35" a="1"/>
  <c r="AZ35" s="1"/>
  <c r="AZ38"/>
  <c r="AZ34" a="1"/>
  <c r="AZ34" s="1"/>
  <c r="AZ37"/>
  <c r="BO10" i="40"/>
  <c r="AR189"/>
  <c r="AQ189"/>
  <c r="BO9"/>
  <c r="AR169"/>
  <c r="AQ169"/>
  <c r="CC8"/>
  <c r="AQ149"/>
  <c r="BO8"/>
  <c r="AR149"/>
  <c r="AQ129"/>
  <c r="BO7"/>
  <c r="AR129"/>
  <c r="BO6"/>
  <c r="AR109"/>
  <c r="CC6"/>
  <c r="AQ109"/>
  <c r="BO5"/>
  <c r="AR89"/>
  <c r="CC5"/>
  <c r="AQ89"/>
  <c r="BM4"/>
  <c r="CC4"/>
  <c r="BM3"/>
  <c r="CB51"/>
  <c r="CB3" s="1"/>
  <c r="CC51"/>
  <c r="CC3" s="1"/>
  <c r="AQ69"/>
  <c r="BU71" s="1"/>
  <c r="BU4" s="1"/>
  <c r="BO4"/>
  <c r="AR69"/>
  <c r="CJ71" s="1"/>
  <c r="BO3"/>
  <c r="BN3"/>
  <c r="BL3"/>
  <c r="BM7"/>
  <c r="BM9"/>
  <c r="BN9"/>
  <c r="BM10"/>
  <c r="BN5"/>
  <c r="BM6"/>
  <c r="BN6"/>
  <c r="BM8"/>
  <c r="BN4"/>
  <c r="BN7"/>
  <c r="BM5"/>
  <c r="BN8"/>
  <c r="BN10"/>
  <c r="AS38"/>
  <c r="AU34" a="1"/>
  <c r="AU34" s="1"/>
  <c r="AU39" a="1"/>
  <c r="AU39" s="1"/>
  <c r="AU38"/>
  <c r="AT38"/>
  <c r="AT34" a="1"/>
  <c r="AT34" s="1"/>
  <c r="AT39" a="1"/>
  <c r="AT39" s="1"/>
  <c r="AV34" a="1"/>
  <c r="AV34" s="1"/>
  <c r="AV38"/>
  <c r="AV39" a="1"/>
  <c r="AV39" s="1"/>
  <c r="CH191"/>
  <c r="BL10"/>
  <c r="CG191"/>
  <c r="CB10"/>
  <c r="CC10"/>
  <c r="CH171"/>
  <c r="CB9"/>
  <c r="BT171"/>
  <c r="BT9" s="1"/>
  <c r="BV171"/>
  <c r="BV9" s="1"/>
  <c r="CJ171"/>
  <c r="BU171"/>
  <c r="BU9" s="1"/>
  <c r="CI171"/>
  <c r="BL9"/>
  <c r="CG171"/>
  <c r="CN171" s="1"/>
  <c r="CC9"/>
  <c r="BV151"/>
  <c r="BV8" s="1"/>
  <c r="CJ151"/>
  <c r="BL8"/>
  <c r="CG151"/>
  <c r="CB8"/>
  <c r="BU151"/>
  <c r="BU8" s="1"/>
  <c r="BT151"/>
  <c r="BT8" s="1"/>
  <c r="CH151"/>
  <c r="CH131"/>
  <c r="CB7"/>
  <c r="CG131"/>
  <c r="CN131" s="1"/>
  <c r="CJ131"/>
  <c r="BT131"/>
  <c r="BT7" s="1"/>
  <c r="CC7"/>
  <c r="CI131"/>
  <c r="BL6"/>
  <c r="BV111"/>
  <c r="BV6" s="1"/>
  <c r="CI91"/>
  <c r="BU91"/>
  <c r="BU5" s="1"/>
  <c r="BT91"/>
  <c r="BT5" s="1"/>
  <c r="BV91"/>
  <c r="BV5" s="1"/>
  <c r="CH91"/>
  <c r="BL5"/>
  <c r="CG91"/>
  <c r="CN91" s="1"/>
  <c r="BL4"/>
  <c r="BB34" i="49" a="1"/>
  <c r="BB34" s="1"/>
  <c r="BB37"/>
  <c r="BB39" a="1"/>
  <c r="BB39" s="1"/>
  <c r="BB38"/>
  <c r="BB35" a="1"/>
  <c r="BB35" s="1"/>
  <c r="AU35" i="40" a="1"/>
  <c r="AU35" s="1"/>
  <c r="AU37"/>
  <c r="AT37"/>
  <c r="AT35" a="1"/>
  <c r="AT35" s="1"/>
  <c r="AV35" a="1"/>
  <c r="AV35" s="1"/>
  <c r="AV37"/>
  <c r="AY35" i="49" a="1"/>
  <c r="AY35" s="1"/>
  <c r="AZ34" a="1"/>
  <c r="AZ34" s="1"/>
  <c r="AZ37"/>
  <c r="AZ35" a="1"/>
  <c r="AZ35" s="1"/>
  <c r="AZ39" a="1"/>
  <c r="AZ39" s="1"/>
  <c r="AZ38"/>
  <c r="AY37"/>
  <c r="BA36"/>
  <c r="AY34" a="1"/>
  <c r="AY34" s="1"/>
  <c r="AY38"/>
  <c r="CA8" i="40"/>
  <c r="AS34" a="1"/>
  <c r="AS34" s="1"/>
  <c r="AS35" a="1"/>
  <c r="AS35" s="1"/>
  <c r="BL7"/>
  <c r="CA7"/>
  <c r="BI35" i="49" a="1"/>
  <c r="BI35" s="1"/>
  <c r="E35" s="1"/>
  <c r="BI39"/>
  <c r="E39" s="1"/>
  <c r="BI38"/>
  <c r="E38" s="1"/>
  <c r="BI34" a="1"/>
  <c r="BI34" s="1"/>
  <c r="BI37"/>
  <c r="BH38" s="1"/>
  <c r="CA5" i="40"/>
  <c r="BS91"/>
  <c r="CA6"/>
  <c r="AS37"/>
  <c r="CA10"/>
  <c r="CA9"/>
  <c r="BS171"/>
  <c r="CA3"/>
  <c r="BB36" i="61" l="1"/>
  <c r="AZ36"/>
  <c r="AU3" i="49"/>
  <c r="BZ35" i="40" a="1"/>
  <c r="BZ35" s="1"/>
  <c r="BZ39" a="1"/>
  <c r="BZ39" s="1"/>
  <c r="BZ38"/>
  <c r="BZ37"/>
  <c r="BZ34" a="1"/>
  <c r="BZ34" s="1"/>
  <c r="AS3" i="49"/>
  <c r="AS37" s="1"/>
  <c r="AT3"/>
  <c r="AV3"/>
  <c r="CQ71" i="40"/>
  <c r="CQ4" s="1"/>
  <c r="CB34" a="1"/>
  <c r="CB34" s="1"/>
  <c r="CA37"/>
  <c r="CA34" a="1"/>
  <c r="CA34" s="1"/>
  <c r="CA38"/>
  <c r="CA35" a="1"/>
  <c r="CA35" s="1"/>
  <c r="CA39" a="1"/>
  <c r="CA39" s="1"/>
  <c r="BT51"/>
  <c r="BT3" s="1"/>
  <c r="BU51"/>
  <c r="BU3" s="1"/>
  <c r="BM35" a="1"/>
  <c r="BM35" s="1"/>
  <c r="I35" s="1"/>
  <c r="BM34" a="1"/>
  <c r="BM34" s="1"/>
  <c r="AT36"/>
  <c r="AU36"/>
  <c r="BN35" a="1"/>
  <c r="BN35" s="1"/>
  <c r="J35" s="1"/>
  <c r="BN34" a="1"/>
  <c r="BN34" s="1"/>
  <c r="CG5"/>
  <c r="AV36"/>
  <c r="CB35" a="1"/>
  <c r="CB35" s="1"/>
  <c r="BO34" a="1"/>
  <c r="BO34" s="1"/>
  <c r="BO35" a="1"/>
  <c r="BO35" s="1"/>
  <c r="K35" s="1"/>
  <c r="CC34" a="1"/>
  <c r="CC34" s="1"/>
  <c r="CC35" a="1"/>
  <c r="CC35" s="1"/>
  <c r="BV71"/>
  <c r="BV4" s="1"/>
  <c r="BT71"/>
  <c r="BT4" s="1"/>
  <c r="CO191"/>
  <c r="CO10" s="1"/>
  <c r="CH10"/>
  <c r="BU191"/>
  <c r="BU10" s="1"/>
  <c r="CN191"/>
  <c r="CJ191"/>
  <c r="CX10" s="1"/>
  <c r="BV191"/>
  <c r="BV10" s="1"/>
  <c r="BT191"/>
  <c r="BT10" s="1"/>
  <c r="CI191"/>
  <c r="CX9"/>
  <c r="CI9"/>
  <c r="CP171"/>
  <c r="CP9" s="1"/>
  <c r="CJ9"/>
  <c r="CQ171"/>
  <c r="CQ9" s="1"/>
  <c r="BL34" a="1"/>
  <c r="BL34" s="1"/>
  <c r="CH9"/>
  <c r="CO171"/>
  <c r="CO9" s="1"/>
  <c r="CW9"/>
  <c r="CN151"/>
  <c r="CI151"/>
  <c r="CH8"/>
  <c r="CO151"/>
  <c r="CO8" s="1"/>
  <c r="CJ8"/>
  <c r="CQ151"/>
  <c r="CQ8" s="1"/>
  <c r="CW7"/>
  <c r="CH7"/>
  <c r="CO131"/>
  <c r="CO7" s="1"/>
  <c r="CX7"/>
  <c r="CQ131"/>
  <c r="CQ7" s="1"/>
  <c r="CJ7"/>
  <c r="BU131"/>
  <c r="BU7" s="1"/>
  <c r="CI7"/>
  <c r="CP131"/>
  <c r="CP7" s="1"/>
  <c r="BV131"/>
  <c r="BV7" s="1"/>
  <c r="CI111"/>
  <c r="CH111"/>
  <c r="CJ111"/>
  <c r="CG111"/>
  <c r="CN111" s="1"/>
  <c r="BU111"/>
  <c r="BU6" s="1"/>
  <c r="BT111"/>
  <c r="BT6" s="1"/>
  <c r="CH5"/>
  <c r="CO91"/>
  <c r="CO5" s="1"/>
  <c r="CP91"/>
  <c r="CP5" s="1"/>
  <c r="CI5"/>
  <c r="CJ91"/>
  <c r="CJ4"/>
  <c r="CH71"/>
  <c r="CI71"/>
  <c r="CG71"/>
  <c r="BB36" i="49"/>
  <c r="CC39" i="40" a="1"/>
  <c r="CC39" s="1"/>
  <c r="CC38"/>
  <c r="CC37"/>
  <c r="CB38"/>
  <c r="CB37"/>
  <c r="CB39" a="1"/>
  <c r="CB39" s="1"/>
  <c r="BM39" a="1"/>
  <c r="BM39" s="1"/>
  <c r="I39" s="1"/>
  <c r="BM38"/>
  <c r="I38" s="1"/>
  <c r="BM37"/>
  <c r="I37" s="1"/>
  <c r="CJ51"/>
  <c r="BN39" a="1"/>
  <c r="BN39" s="1"/>
  <c r="J39" s="1"/>
  <c r="BN37"/>
  <c r="J37" s="1"/>
  <c r="BN38"/>
  <c r="J38" s="1"/>
  <c r="BO39" a="1"/>
  <c r="BO39" s="1"/>
  <c r="K39" s="1"/>
  <c r="BO37"/>
  <c r="K37" s="1"/>
  <c r="BO38"/>
  <c r="K38" s="1"/>
  <c r="CH51"/>
  <c r="CI51"/>
  <c r="AY36" i="49"/>
  <c r="AZ36"/>
  <c r="AS34" a="1"/>
  <c r="AS34" s="1"/>
  <c r="BL38" i="40"/>
  <c r="BL35" a="1"/>
  <c r="BL35" s="1"/>
  <c r="H35" s="1"/>
  <c r="BL39" a="1"/>
  <c r="BL39" s="1"/>
  <c r="E37" i="49"/>
  <c r="D1" s="1"/>
  <c r="E34"/>
  <c r="BI36"/>
  <c r="E36" s="1"/>
  <c r="BH34"/>
  <c r="BH39"/>
  <c r="BS5" i="40"/>
  <c r="BS9"/>
  <c r="CV5"/>
  <c r="CN5"/>
  <c r="BS71"/>
  <c r="BL37"/>
  <c r="CG9"/>
  <c r="CG7"/>
  <c r="BS131"/>
  <c r="CG51"/>
  <c r="CX71" l="1"/>
  <c r="CX4" s="1"/>
  <c r="CU71"/>
  <c r="CU4" s="1"/>
  <c r="AS35" i="49" a="1"/>
  <c r="AS35" s="1"/>
  <c r="CV71" i="40"/>
  <c r="CW71"/>
  <c r="CW4" s="1"/>
  <c r="AS39" i="49" a="1"/>
  <c r="AS39" s="1"/>
  <c r="AS38"/>
  <c r="CA3"/>
  <c r="AV37" i="61"/>
  <c r="AV38"/>
  <c r="AV39" a="1"/>
  <c r="AV39" s="1"/>
  <c r="AV34" a="1"/>
  <c r="AV34" s="1"/>
  <c r="AV36" s="1" a="1"/>
  <c r="AV35" a="1"/>
  <c r="AV35" s="1"/>
  <c r="AS34" a="1"/>
  <c r="AS34" s="1"/>
  <c r="AS36" s="1" a="1"/>
  <c r="AS39" a="1"/>
  <c r="AS39" s="1"/>
  <c r="AS38"/>
  <c r="AS35" a="1"/>
  <c r="AS35" s="1"/>
  <c r="AS37"/>
  <c r="CB3" i="49"/>
  <c r="AT38" i="61"/>
  <c r="AT39" a="1"/>
  <c r="AT39" s="1"/>
  <c r="AT34" a="1"/>
  <c r="AT34" s="1"/>
  <c r="AT36" s="1" a="1"/>
  <c r="AT35" a="1"/>
  <c r="AT35" s="1"/>
  <c r="AT37"/>
  <c r="BZ36" i="40"/>
  <c r="BZ3" i="49"/>
  <c r="CC3"/>
  <c r="AU37" i="61"/>
  <c r="AU35" a="1"/>
  <c r="AU35" s="1"/>
  <c r="AU34" a="1"/>
  <c r="AU34" s="1"/>
  <c r="AU38"/>
  <c r="AU36" s="1" a="1"/>
  <c r="AU39" a="1"/>
  <c r="AU39" s="1"/>
  <c r="CW51" i="40"/>
  <c r="CW3" s="1"/>
  <c r="CV51"/>
  <c r="CV3" s="1"/>
  <c r="BL3" i="49"/>
  <c r="BL34" s="1" a="1"/>
  <c r="BL34" s="1"/>
  <c r="CX51" i="40"/>
  <c r="CX3" s="1"/>
  <c r="CU51"/>
  <c r="CU3" s="1"/>
  <c r="BO39" i="61" a="1"/>
  <c r="BO39" s="1"/>
  <c r="K39" s="1"/>
  <c r="BO35" a="1"/>
  <c r="BO35" s="1"/>
  <c r="K35" s="1"/>
  <c r="BO37"/>
  <c r="K37" s="1"/>
  <c r="BO38"/>
  <c r="K38" s="1"/>
  <c r="BO34" a="1"/>
  <c r="BO34" s="1"/>
  <c r="BN37"/>
  <c r="J37" s="1"/>
  <c r="BN38"/>
  <c r="J38" s="1"/>
  <c r="BN34" a="1"/>
  <c r="BN34" s="1"/>
  <c r="BN39" a="1"/>
  <c r="BN39" s="1"/>
  <c r="J39" s="1"/>
  <c r="BN35" a="1"/>
  <c r="BN35" s="1"/>
  <c r="J35" s="1"/>
  <c r="BM39" a="1"/>
  <c r="BM39" s="1"/>
  <c r="I39" s="1"/>
  <c r="BM37"/>
  <c r="I37" s="1"/>
  <c r="BM34" a="1"/>
  <c r="BM34" s="1"/>
  <c r="BM38"/>
  <c r="I38" s="1"/>
  <c r="BM35" a="1"/>
  <c r="BM35" s="1"/>
  <c r="I35" s="1"/>
  <c r="CW8" i="40"/>
  <c r="CX8"/>
  <c r="K34"/>
  <c r="BO3" i="49"/>
  <c r="J34" i="40"/>
  <c r="BN3" i="49"/>
  <c r="I34" i="40"/>
  <c r="BM3" i="49"/>
  <c r="BM34" s="1" a="1"/>
  <c r="BM34" s="1"/>
  <c r="I34" s="1"/>
  <c r="CN71" i="40"/>
  <c r="CN4" s="1"/>
  <c r="CA36"/>
  <c r="CA35" i="49" a="1"/>
  <c r="CA35" s="1"/>
  <c r="BN36" i="40"/>
  <c r="J36" s="1"/>
  <c r="BM36"/>
  <c r="I36" s="1"/>
  <c r="CG4"/>
  <c r="CB36"/>
  <c r="BO36"/>
  <c r="K36" s="1"/>
  <c r="CC36"/>
  <c r="CJ10"/>
  <c r="CQ191"/>
  <c r="CQ10" s="1"/>
  <c r="CI10"/>
  <c r="CP191"/>
  <c r="CP10" s="1"/>
  <c r="CW10"/>
  <c r="CI8"/>
  <c r="CP151"/>
  <c r="CP8" s="1"/>
  <c r="CW6"/>
  <c r="CH6"/>
  <c r="CO111"/>
  <c r="CO6" s="1"/>
  <c r="CX6"/>
  <c r="CQ111"/>
  <c r="CQ6" s="1"/>
  <c r="CJ6"/>
  <c r="CI6"/>
  <c r="CP111"/>
  <c r="CP6" s="1"/>
  <c r="CJ5"/>
  <c r="CQ91"/>
  <c r="CQ5" s="1"/>
  <c r="CW5"/>
  <c r="CX5"/>
  <c r="CH4"/>
  <c r="CO71"/>
  <c r="CO4" s="1"/>
  <c r="CP71"/>
  <c r="CP4" s="1"/>
  <c r="CI4"/>
  <c r="BT34" a="1"/>
  <c r="BT34" s="1"/>
  <c r="BU35" a="1"/>
  <c r="BU35" s="1"/>
  <c r="BV51"/>
  <c r="BV3" s="1"/>
  <c r="CO51"/>
  <c r="CO3" s="1"/>
  <c r="CH3"/>
  <c r="CI3"/>
  <c r="CP51"/>
  <c r="CP3" s="1"/>
  <c r="AT37" i="49"/>
  <c r="AT39" a="1"/>
  <c r="AT39" s="1"/>
  <c r="AT35" a="1"/>
  <c r="AT35" s="1"/>
  <c r="AT34" a="1"/>
  <c r="AT34" s="1"/>
  <c r="AT38"/>
  <c r="AU35" a="1"/>
  <c r="AU35" s="1"/>
  <c r="AU34" a="1"/>
  <c r="AU34" s="1"/>
  <c r="AU38"/>
  <c r="AU39" a="1"/>
  <c r="AU39" s="1"/>
  <c r="AU37"/>
  <c r="CQ51" i="40"/>
  <c r="CQ3" s="1"/>
  <c r="CJ3"/>
  <c r="AV38" i="49"/>
  <c r="AV34" a="1"/>
  <c r="AV34" s="1"/>
  <c r="AV37"/>
  <c r="AV35" a="1"/>
  <c r="AV35" s="1"/>
  <c r="AV39" a="1"/>
  <c r="AV39" s="1"/>
  <c r="AS36" a="1"/>
  <c r="CN51" i="40"/>
  <c r="CN3" s="1"/>
  <c r="BL38" i="49"/>
  <c r="H38" s="1"/>
  <c r="CG3" i="40"/>
  <c r="BS4"/>
  <c r="BS7"/>
  <c r="BS51"/>
  <c r="BL36"/>
  <c r="H36" s="1"/>
  <c r="BS151"/>
  <c r="CN7"/>
  <c r="CV7"/>
  <c r="CN9"/>
  <c r="CV9"/>
  <c r="BS191"/>
  <c r="BS10" s="1"/>
  <c r="CV4"/>
  <c r="AS36" i="49" l="1"/>
  <c r="BL39" a="1"/>
  <c r="BL39" s="1"/>
  <c r="H39" s="1"/>
  <c r="BL35" a="1"/>
  <c r="BL35" s="1"/>
  <c r="H35" s="1"/>
  <c r="AS36" i="61"/>
  <c r="BL37" i="49"/>
  <c r="H37" s="1"/>
  <c r="AU36" i="61"/>
  <c r="AT36"/>
  <c r="CB35" a="1"/>
  <c r="CB35" s="1"/>
  <c r="CB37"/>
  <c r="CB39" a="1"/>
  <c r="CB39" s="1"/>
  <c r="CB38"/>
  <c r="CB34" a="1"/>
  <c r="CB34" s="1"/>
  <c r="CA39" a="1"/>
  <c r="CA39" s="1"/>
  <c r="CA34" a="1"/>
  <c r="CA34" s="1"/>
  <c r="CA38"/>
  <c r="CA35" a="1"/>
  <c r="CA35" s="1"/>
  <c r="CA37"/>
  <c r="J34"/>
  <c r="BN36"/>
  <c r="J36" s="1"/>
  <c r="CU39" i="40" a="1"/>
  <c r="CU39" s="1"/>
  <c r="CU35" a="1"/>
  <c r="CU35" s="1"/>
  <c r="CU37"/>
  <c r="CU34" a="1"/>
  <c r="CU34" s="1"/>
  <c r="CU38"/>
  <c r="BL38" i="61"/>
  <c r="H38" s="1"/>
  <c r="BL39" a="1"/>
  <c r="BL39" s="1"/>
  <c r="H39" s="1"/>
  <c r="BL35" a="1"/>
  <c r="BL35" s="1"/>
  <c r="H35" s="1"/>
  <c r="BL37"/>
  <c r="H37" s="1"/>
  <c r="BL34" a="1"/>
  <c r="BL34" s="1"/>
  <c r="BT37"/>
  <c r="BT39" a="1"/>
  <c r="BT39" s="1"/>
  <c r="BT38"/>
  <c r="BT34" a="1"/>
  <c r="BT34" s="1"/>
  <c r="BT35" a="1"/>
  <c r="BT35" s="1"/>
  <c r="BM36"/>
  <c r="I36" s="1"/>
  <c r="I34"/>
  <c r="K34"/>
  <c r="BO36"/>
  <c r="K36" s="1"/>
  <c r="CC39" a="1"/>
  <c r="CC39" s="1"/>
  <c r="CC34" a="1"/>
  <c r="CC34" s="1"/>
  <c r="CC37"/>
  <c r="CC38"/>
  <c r="CC35" a="1"/>
  <c r="CC35" s="1"/>
  <c r="AV36"/>
  <c r="BT3" i="49"/>
  <c r="AK18" i="40"/>
  <c r="AJ7" s="1"/>
  <c r="AU36" i="49" a="1"/>
  <c r="AU36" s="1"/>
  <c r="AT36" a="1"/>
  <c r="AT36" s="1"/>
  <c r="AV36" a="1"/>
  <c r="AV36" s="1"/>
  <c r="BU34" i="40" a="1"/>
  <c r="BU34" s="1"/>
  <c r="BT35" a="1"/>
  <c r="BT35" s="1"/>
  <c r="CW38"/>
  <c r="CW35" a="1"/>
  <c r="CW35" s="1"/>
  <c r="CW34" a="1"/>
  <c r="CW34" s="1"/>
  <c r="CX34" a="1"/>
  <c r="CX34" s="1"/>
  <c r="CX35" a="1"/>
  <c r="CX35" s="1"/>
  <c r="CP34" a="1"/>
  <c r="CP34" s="1"/>
  <c r="CP35" a="1"/>
  <c r="CP35" s="1"/>
  <c r="CO34" a="1"/>
  <c r="CO34" s="1"/>
  <c r="CO35" a="1"/>
  <c r="CO35" s="1"/>
  <c r="CQ35" a="1"/>
  <c r="CQ35" s="1"/>
  <c r="CQ34" a="1"/>
  <c r="CQ34" s="1"/>
  <c r="CJ35" a="1"/>
  <c r="CJ35" s="1"/>
  <c r="CJ34" a="1"/>
  <c r="CJ34" s="1"/>
  <c r="CI34" a="1"/>
  <c r="CI34" s="1"/>
  <c r="CI35" a="1"/>
  <c r="CI35" s="1"/>
  <c r="CH34" a="1"/>
  <c r="CH34" s="1"/>
  <c r="CH35" a="1"/>
  <c r="CH35" s="1"/>
  <c r="BV34" a="1"/>
  <c r="BV34" s="1"/>
  <c r="BV35" a="1"/>
  <c r="BV35" s="1"/>
  <c r="CW39" a="1"/>
  <c r="CW39" s="1"/>
  <c r="CW37"/>
  <c r="CQ39" a="1"/>
  <c r="CQ39" s="1"/>
  <c r="CQ38"/>
  <c r="CQ37"/>
  <c r="CH37"/>
  <c r="CH38"/>
  <c r="CH39" a="1"/>
  <c r="CH39" s="1"/>
  <c r="BU37"/>
  <c r="BU38"/>
  <c r="BU39" a="1"/>
  <c r="BU39" s="1"/>
  <c r="BT38"/>
  <c r="BT36" s="1"/>
  <c r="BT37"/>
  <c r="BT39" a="1"/>
  <c r="BT39" s="1"/>
  <c r="CJ39" a="1"/>
  <c r="CJ39" s="1"/>
  <c r="CJ38"/>
  <c r="CJ37"/>
  <c r="CX38"/>
  <c r="CX37"/>
  <c r="CX39" a="1"/>
  <c r="CX39" s="1"/>
  <c r="CP37"/>
  <c r="CP38"/>
  <c r="CP39" a="1"/>
  <c r="CP39" s="1"/>
  <c r="CI37"/>
  <c r="CI38"/>
  <c r="CI39" a="1"/>
  <c r="CI39" s="1"/>
  <c r="CO38"/>
  <c r="CO37"/>
  <c r="CO39" a="1"/>
  <c r="CO39" s="1"/>
  <c r="BV38"/>
  <c r="BV39" a="1"/>
  <c r="BV39" s="1"/>
  <c r="BV37"/>
  <c r="BM39" i="49" a="1"/>
  <c r="BM39" s="1"/>
  <c r="I39" s="1"/>
  <c r="BM38"/>
  <c r="I38" s="1"/>
  <c r="BM35" a="1"/>
  <c r="BM35" s="1"/>
  <c r="I35" s="1"/>
  <c r="BM37"/>
  <c r="I37" s="1"/>
  <c r="CA37"/>
  <c r="CA38"/>
  <c r="CA34" a="1"/>
  <c r="CA34" s="1"/>
  <c r="CA39" a="1"/>
  <c r="CA39" s="1"/>
  <c r="BN35" a="1"/>
  <c r="BN35" s="1"/>
  <c r="J35" s="1"/>
  <c r="BN39" a="1"/>
  <c r="BN39" s="1"/>
  <c r="J39" s="1"/>
  <c r="BL36"/>
  <c r="H36" s="1"/>
  <c r="H34"/>
  <c r="BS8" i="40"/>
  <c r="BS3"/>
  <c r="CG10"/>
  <c r="CG8"/>
  <c r="CB36" i="61" l="1"/>
  <c r="CJ3" i="49"/>
  <c r="BV3"/>
  <c r="CI3"/>
  <c r="CQ3"/>
  <c r="CW3"/>
  <c r="BU3"/>
  <c r="CC36" i="61"/>
  <c r="CA36"/>
  <c r="CP3" i="49"/>
  <c r="AK13" i="61"/>
  <c r="BT36"/>
  <c r="BL36"/>
  <c r="H36" s="1"/>
  <c r="H34"/>
  <c r="CH3" i="49"/>
  <c r="CO3"/>
  <c r="CX3"/>
  <c r="CU36" i="40"/>
  <c r="CU3" i="49"/>
  <c r="BU36" i="40"/>
  <c r="CW36"/>
  <c r="CH36"/>
  <c r="CJ36"/>
  <c r="CQ36"/>
  <c r="CX36"/>
  <c r="BV36"/>
  <c r="CI36"/>
  <c r="CO36"/>
  <c r="CP36"/>
  <c r="AL18"/>
  <c r="AJ6" s="1"/>
  <c r="AM18"/>
  <c r="CA36" i="49"/>
  <c r="BN34" a="1"/>
  <c r="BN34" s="1"/>
  <c r="J34" s="1"/>
  <c r="BM36"/>
  <c r="I36" s="1"/>
  <c r="BN38"/>
  <c r="J38" s="1"/>
  <c r="BN37"/>
  <c r="J37" s="1"/>
  <c r="CB37"/>
  <c r="CB35" a="1"/>
  <c r="CB35" s="1"/>
  <c r="CB39" a="1"/>
  <c r="CB39" s="1"/>
  <c r="CB38"/>
  <c r="CB34" a="1"/>
  <c r="CB34" s="1"/>
  <c r="BS111" i="40"/>
  <c r="CV10"/>
  <c r="CN10"/>
  <c r="CV8"/>
  <c r="CN8"/>
  <c r="CX37" i="61" l="1"/>
  <c r="CX39" a="1"/>
  <c r="CX39" s="1"/>
  <c r="CX34" a="1"/>
  <c r="CX34" s="1"/>
  <c r="CX35" a="1"/>
  <c r="CX35" s="1"/>
  <c r="CX38"/>
  <c r="CH34" a="1"/>
  <c r="CH34" s="1"/>
  <c r="CH38"/>
  <c r="CH39" a="1"/>
  <c r="CH39" s="1"/>
  <c r="CH35" a="1"/>
  <c r="CH35" s="1"/>
  <c r="CH37"/>
  <c r="CW34" a="1"/>
  <c r="CW34" s="1"/>
  <c r="CW37"/>
  <c r="CW35" a="1"/>
  <c r="CW35" s="1"/>
  <c r="CW39" a="1"/>
  <c r="CW39" s="1"/>
  <c r="CW38"/>
  <c r="CW36" s="1"/>
  <c r="CI38"/>
  <c r="CI39" a="1"/>
  <c r="CI39" s="1"/>
  <c r="CI35" a="1"/>
  <c r="CI35" s="1"/>
  <c r="CI37"/>
  <c r="CI34" a="1"/>
  <c r="CI34" s="1"/>
  <c r="CI36" s="1"/>
  <c r="CJ39" a="1"/>
  <c r="CJ39" s="1"/>
  <c r="CJ34" a="1"/>
  <c r="CJ34" s="1"/>
  <c r="CJ35" a="1"/>
  <c r="CJ35" s="1"/>
  <c r="CJ37"/>
  <c r="CJ38"/>
  <c r="CO38"/>
  <c r="CO34" a="1"/>
  <c r="CO34" s="1"/>
  <c r="CO39" a="1"/>
  <c r="CO39" s="1"/>
  <c r="CO37"/>
  <c r="CO35" a="1"/>
  <c r="CO35" s="1"/>
  <c r="CP39" a="1"/>
  <c r="CP39" s="1"/>
  <c r="CP37"/>
  <c r="CP38"/>
  <c r="CP34" a="1"/>
  <c r="CP34" s="1"/>
  <c r="CP35" a="1"/>
  <c r="CP35" s="1"/>
  <c r="BU34" a="1"/>
  <c r="BU34" s="1"/>
  <c r="BU39" a="1"/>
  <c r="BU39" s="1"/>
  <c r="BU35" a="1"/>
  <c r="BU35" s="1"/>
  <c r="BU38"/>
  <c r="BU37"/>
  <c r="CQ37"/>
  <c r="CQ38"/>
  <c r="CQ34" a="1"/>
  <c r="CQ34" s="1"/>
  <c r="CQ39" a="1"/>
  <c r="CQ39" s="1"/>
  <c r="CQ35" a="1"/>
  <c r="CQ35" s="1"/>
  <c r="BV38"/>
  <c r="BV37"/>
  <c r="BV35" a="1"/>
  <c r="BV35" s="1"/>
  <c r="BV39" a="1"/>
  <c r="BV39" s="1"/>
  <c r="BV34" a="1"/>
  <c r="BV34" s="1"/>
  <c r="BV35" i="49" a="1"/>
  <c r="BV35" s="1"/>
  <c r="BV39" a="1"/>
  <c r="BV39" s="1"/>
  <c r="BV37"/>
  <c r="BV34" a="1"/>
  <c r="BV34" s="1"/>
  <c r="AM13" s="1"/>
  <c r="BV38"/>
  <c r="CX35" a="1"/>
  <c r="CX35" s="1"/>
  <c r="CX39" a="1"/>
  <c r="CX39" s="1"/>
  <c r="CX34" a="1"/>
  <c r="CX34" s="1"/>
  <c r="CX37"/>
  <c r="CX38"/>
  <c r="BN36"/>
  <c r="J36" s="1"/>
  <c r="CB36"/>
  <c r="BS6" i="40"/>
  <c r="CG6"/>
  <c r="CP36" i="61" l="1"/>
  <c r="CQ36"/>
  <c r="CO36"/>
  <c r="CH36"/>
  <c r="CX36"/>
  <c r="AM13"/>
  <c r="BV36"/>
  <c r="BU36"/>
  <c r="AL13"/>
  <c r="CJ36"/>
  <c r="CX36" i="49"/>
  <c r="BV36"/>
  <c r="BS39" i="40" a="1"/>
  <c r="BS39" s="1"/>
  <c r="BS34" a="1"/>
  <c r="BS34" s="1"/>
  <c r="BS35" a="1"/>
  <c r="BS35" s="1"/>
  <c r="BS37"/>
  <c r="BS38"/>
  <c r="CG39" a="1"/>
  <c r="CG39" s="1"/>
  <c r="CG34" a="1"/>
  <c r="CG34" s="1"/>
  <c r="CG38"/>
  <c r="CG35" a="1"/>
  <c r="CG35" s="1"/>
  <c r="CG37"/>
  <c r="CV6"/>
  <c r="CN6"/>
  <c r="AJ18" l="1"/>
  <c r="AJ8" s="1"/>
  <c r="CG37" i="61"/>
  <c r="CG39" a="1"/>
  <c r="CG39" s="1"/>
  <c r="CG34" a="1"/>
  <c r="CG34" s="1"/>
  <c r="CG35" a="1"/>
  <c r="CG35" s="1"/>
  <c r="CG38"/>
  <c r="CV38" i="40"/>
  <c r="CV34" a="1"/>
  <c r="CV34" s="1"/>
  <c r="CV35" a="1"/>
  <c r="CV35" s="1"/>
  <c r="CV39" a="1"/>
  <c r="CV39" s="1"/>
  <c r="CV37"/>
  <c r="BU37" i="49"/>
  <c r="BS3"/>
  <c r="BS38" s="1"/>
  <c r="CG3"/>
  <c r="CG39" s="1" a="1"/>
  <c r="CG39" s="1"/>
  <c r="CN34" i="40" a="1"/>
  <c r="CN34" s="1"/>
  <c r="CN39" a="1"/>
  <c r="CN39" s="1"/>
  <c r="CN37"/>
  <c r="CN38"/>
  <c r="CN35" a="1"/>
  <c r="CN35" s="1"/>
  <c r="BS36"/>
  <c r="CG36"/>
  <c r="H34"/>
  <c r="CG36" i="61" l="1"/>
  <c r="CV3" i="49"/>
  <c r="CV35" s="1" a="1"/>
  <c r="CV35" s="1"/>
  <c r="BS34" i="61" a="1"/>
  <c r="BS34" s="1"/>
  <c r="AJ13" s="1"/>
  <c r="BS35" a="1"/>
  <c r="BS35" s="1"/>
  <c r="BS39" a="1"/>
  <c r="BS39" s="1"/>
  <c r="BS38"/>
  <c r="BS37"/>
  <c r="CN39" a="1"/>
  <c r="CN39" s="1"/>
  <c r="CN37"/>
  <c r="CN38"/>
  <c r="CN34" a="1"/>
  <c r="CN34" s="1"/>
  <c r="CN35" a="1"/>
  <c r="CN35" s="1"/>
  <c r="CV36" i="40"/>
  <c r="BU35" i="49" a="1"/>
  <c r="BU35" s="1"/>
  <c r="BU39" a="1"/>
  <c r="BU39" s="1"/>
  <c r="BU34" a="1"/>
  <c r="BU34" s="1"/>
  <c r="AL13" s="1"/>
  <c r="BU38"/>
  <c r="CG37"/>
  <c r="BS37"/>
  <c r="CG38"/>
  <c r="BT34" a="1"/>
  <c r="BT34" s="1"/>
  <c r="AK13" s="1"/>
  <c r="BT35" a="1"/>
  <c r="BT35" s="1"/>
  <c r="BT37"/>
  <c r="BT38"/>
  <c r="BT39" a="1"/>
  <c r="BT39" s="1"/>
  <c r="CC37"/>
  <c r="CC38"/>
  <c r="CC35" a="1"/>
  <c r="CC35" s="1"/>
  <c r="CC39" a="1"/>
  <c r="CC39" s="1"/>
  <c r="CC34" a="1"/>
  <c r="CC34" s="1"/>
  <c r="CP37"/>
  <c r="CP39" a="1"/>
  <c r="CP39" s="1"/>
  <c r="CP34" a="1"/>
  <c r="CP34" s="1"/>
  <c r="CP35" a="1"/>
  <c r="CP35" s="1"/>
  <c r="CP38"/>
  <c r="CW35" a="1"/>
  <c r="CW35" s="1"/>
  <c r="CW37"/>
  <c r="CW38"/>
  <c r="CW34" a="1"/>
  <c r="CW34" s="1"/>
  <c r="CW39" a="1"/>
  <c r="CW39" s="1"/>
  <c r="CH35" a="1"/>
  <c r="CH35" s="1"/>
  <c r="CH34" a="1"/>
  <c r="CH34" s="1"/>
  <c r="CH37"/>
  <c r="CH39" a="1"/>
  <c r="CH39" s="1"/>
  <c r="CH38"/>
  <c r="BS35" a="1"/>
  <c r="BS35" s="1"/>
  <c r="CG35" a="1"/>
  <c r="CG35" s="1"/>
  <c r="BS34" a="1"/>
  <c r="BS34" s="1"/>
  <c r="AJ13" s="1"/>
  <c r="CG34" a="1"/>
  <c r="CG34" s="1"/>
  <c r="CN3"/>
  <c r="CN35" s="1" a="1"/>
  <c r="CN35" s="1"/>
  <c r="CI35" a="1"/>
  <c r="CI35" s="1"/>
  <c r="CI37"/>
  <c r="CI34" a="1"/>
  <c r="CI34" s="1"/>
  <c r="CI39" a="1"/>
  <c r="CI39" s="1"/>
  <c r="CI38"/>
  <c r="BO34" a="1"/>
  <c r="BO34" s="1"/>
  <c r="K34" s="1"/>
  <c r="BO38"/>
  <c r="K38" s="1"/>
  <c r="BO35" a="1"/>
  <c r="BO35" s="1"/>
  <c r="K35" s="1"/>
  <c r="BO39" a="1"/>
  <c r="BO39" s="1"/>
  <c r="K39" s="1"/>
  <c r="BO37"/>
  <c r="K37" s="1"/>
  <c r="BS39" a="1"/>
  <c r="BS39" s="1"/>
  <c r="CN36" i="40"/>
  <c r="BS36" i="61" l="1"/>
  <c r="CV38"/>
  <c r="CV37"/>
  <c r="CV39" a="1"/>
  <c r="CV39" s="1"/>
  <c r="CV35" a="1"/>
  <c r="CV35" s="1"/>
  <c r="CV34" a="1"/>
  <c r="CV34" s="1"/>
  <c r="CN36"/>
  <c r="BU36" i="49"/>
  <c r="BS36"/>
  <c r="CN38"/>
  <c r="CN34" a="1"/>
  <c r="CN34" s="1"/>
  <c r="CN39" a="1"/>
  <c r="CN39" s="1"/>
  <c r="CV37"/>
  <c r="CN37"/>
  <c r="CV38"/>
  <c r="CG36"/>
  <c r="CV39" a="1"/>
  <c r="CV39" s="1"/>
  <c r="CV34" a="1"/>
  <c r="CV34" s="1"/>
  <c r="CI36"/>
  <c r="CQ39" a="1"/>
  <c r="CQ39" s="1"/>
  <c r="CQ35" a="1"/>
  <c r="CQ35" s="1"/>
  <c r="CQ34" a="1"/>
  <c r="CQ34" s="1"/>
  <c r="CQ38"/>
  <c r="CQ37"/>
  <c r="BO36"/>
  <c r="K36" s="1"/>
  <c r="CJ38"/>
  <c r="CJ34" a="1"/>
  <c r="CJ34" s="1"/>
  <c r="CJ37"/>
  <c r="CJ35" a="1"/>
  <c r="CJ35" s="1"/>
  <c r="CJ39" a="1"/>
  <c r="CJ39" s="1"/>
  <c r="CO39" a="1"/>
  <c r="CO39" s="1"/>
  <c r="CO37"/>
  <c r="CO38"/>
  <c r="CO34" a="1"/>
  <c r="CO34" s="1"/>
  <c r="CO35" a="1"/>
  <c r="CO35" s="1"/>
  <c r="BT36"/>
  <c r="CH36"/>
  <c r="CW36"/>
  <c r="CP36"/>
  <c r="CC36"/>
  <c r="AS36" i="40"/>
  <c r="H39"/>
  <c r="H37"/>
  <c r="H38"/>
  <c r="CV36" i="61" l="1"/>
  <c r="CN36" i="49"/>
  <c r="CV36"/>
  <c r="CO36"/>
  <c r="CJ36"/>
  <c r="CQ36"/>
  <c r="BH39" i="40"/>
  <c r="BH38"/>
  <c r="E37"/>
  <c r="F2" s="1"/>
  <c r="BH34"/>
</calcChain>
</file>

<file path=xl/comments1.xml><?xml version="1.0" encoding="utf-8"?>
<comments xmlns="http://schemas.openxmlformats.org/spreadsheetml/2006/main">
  <authors>
    <author>plattnerc</author>
    <author>user</author>
    <author>Gnaiger Erich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Add name of cohort</t>
        </r>
      </text>
    </comment>
    <comment ref="E1" authorId="1">
      <text>
        <r>
          <rPr>
            <b/>
            <sz val="10"/>
            <color indexed="81"/>
            <rFont val="Arial"/>
            <family val="2"/>
          </rPr>
          <t>Add short acronym of cohort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" authorId="2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</commentList>
</comments>
</file>

<file path=xl/comments10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11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12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13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14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2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3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4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5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6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7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8.xml><?xml version="1.0" encoding="utf-8"?>
<comments xmlns="http://schemas.openxmlformats.org/spreadsheetml/2006/main">
  <authors>
    <author>plattnerc</author>
    <author>user</author>
    <author>Gnaiger Erich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Add name of cohort</t>
        </r>
      </text>
    </comment>
    <comment ref="E1" authorId="1">
      <text>
        <r>
          <rPr>
            <b/>
            <sz val="10"/>
            <color indexed="81"/>
            <rFont val="Arial"/>
            <family val="2"/>
          </rPr>
          <t>Add short acronym of cohort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" authorId="2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</commentList>
</comments>
</file>

<file path=xl/comments9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sharedStrings.xml><?xml version="1.0" encoding="utf-8"?>
<sst xmlns="http://schemas.openxmlformats.org/spreadsheetml/2006/main" count="8468" uniqueCount="273">
  <si>
    <t xml:space="preserve"> </t>
  </si>
  <si>
    <t>relative</t>
  </si>
  <si>
    <t>FCF (mt: ROX-corr.)</t>
  </si>
  <si>
    <t>FCR (mt: ROX-corr.)</t>
  </si>
  <si>
    <t>pmol/(s*ml)</t>
  </si>
  <si>
    <t>O2 flux per volume</t>
  </si>
  <si>
    <t>µM</t>
  </si>
  <si>
    <t>Amount of sample</t>
  </si>
  <si>
    <t>Final sample concentration</t>
  </si>
  <si>
    <t>↓ Paste</t>
  </si>
  <si>
    <r>
      <t xml:space="preserve">Background </t>
    </r>
    <r>
      <rPr>
        <i/>
        <sz val="10"/>
        <rFont val="Arial"/>
        <family val="2"/>
      </rPr>
      <t>a</t>
    </r>
    <r>
      <rPr>
        <sz val="10"/>
        <rFont val="Arial"/>
        <family val="2"/>
      </rPr>
      <t>°</t>
    </r>
  </si>
  <si>
    <r>
      <t xml:space="preserve">Background </t>
    </r>
    <r>
      <rPr>
        <i/>
        <sz val="10"/>
        <rFont val="Arial"/>
        <family val="2"/>
      </rPr>
      <t>b</t>
    </r>
    <r>
      <rPr>
        <sz val="10"/>
        <rFont val="Arial"/>
        <family val="2"/>
      </rPr>
      <t>°</t>
    </r>
  </si>
  <si>
    <t>Titration [µl]:</t>
  </si>
  <si>
    <t>Units</t>
  </si>
  <si>
    <t>Quantity</t>
  </si>
  <si>
    <t>DatLab 7</t>
  </si>
  <si>
    <t>O2k-Chamber</t>
  </si>
  <si>
    <t>↓ Select cells</t>
  </si>
  <si>
    <t>Flux control factor</t>
  </si>
  <si>
    <t>Flux control ratio</t>
  </si>
  <si>
    <t>FCR, relative</t>
  </si>
  <si>
    <t>FCF, relative</t>
  </si>
  <si>
    <t>SD</t>
  </si>
  <si>
    <t>O2 concentration</t>
  </si>
  <si>
    <t>Mean</t>
  </si>
  <si>
    <t>Line</t>
  </si>
  <si>
    <t>Subsample</t>
  </si>
  <si>
    <t>DatLab file</t>
  </si>
  <si>
    <t>Sample code</t>
  </si>
  <si>
    <t>1A</t>
  </si>
  <si>
    <t>5B</t>
  </si>
  <si>
    <t>Reference mark names:</t>
  </si>
  <si>
    <t>n</t>
  </si>
  <si>
    <t>→</t>
  </si>
  <si>
    <t>Median</t>
  </si>
  <si>
    <t>Conc. of sample</t>
  </si>
  <si>
    <r>
      <t xml:space="preserve">Chamber </t>
    </r>
    <r>
      <rPr>
        <i/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 xml:space="preserve"> (ml)</t>
    </r>
  </si>
  <si>
    <t>O2 calibration</t>
  </si>
  <si>
    <t>POS #</t>
  </si>
  <si>
    <t>Protocol</t>
  </si>
  <si>
    <t>Temp</t>
  </si>
  <si>
    <t>Sample type</t>
  </si>
  <si>
    <t>Air saturation</t>
  </si>
  <si>
    <t>for reference and baseline values</t>
  </si>
  <si>
    <t>R1</t>
  </si>
  <si>
    <t>R0</t>
  </si>
  <si>
    <t>Sample number</t>
  </si>
  <si>
    <t>pb</t>
  </si>
  <si>
    <t>Subsample number</t>
  </si>
  <si>
    <t>FM</t>
  </si>
  <si>
    <t>Sample concentration</t>
  </si>
  <si>
    <t>Sample amount</t>
  </si>
  <si>
    <t>O2 background a°</t>
  </si>
  <si>
    <t>Chamber volume</t>
  </si>
  <si>
    <t>ml</t>
  </si>
  <si>
    <t>O2 background b°</t>
  </si>
  <si>
    <t>O2k</t>
  </si>
  <si>
    <t>Chamber</t>
  </si>
  <si>
    <t>→ Tables: Sample statistics</t>
  </si>
  <si>
    <t>Number</t>
  </si>
  <si>
    <t>Sample</t>
  </si>
  <si>
    <t>Hyperlink to</t>
  </si>
  <si>
    <t>number</t>
  </si>
  <si>
    <t>code</t>
  </si>
  <si>
    <t>→ Coupling-pathway control diagram</t>
  </si>
  <si>
    <t>Reference marks</t>
  </si>
  <si>
    <t>Mark statistics for corrections</t>
  </si>
  <si>
    <t>↗ Navigation</t>
  </si>
  <si>
    <t>← Sample statistics</t>
  </si>
  <si>
    <t>↑ Sample statistics</t>
  </si>
  <si>
    <t>↓ Reduce to width 20 cm or 8"</t>
  </si>
  <si>
    <r>
      <rPr>
        <b/>
        <sz val="10"/>
        <color theme="1"/>
        <rFont val="Calibri"/>
        <family val="2"/>
      </rPr>
      <t xml:space="preserve">• </t>
    </r>
    <r>
      <rPr>
        <b/>
        <sz val="10"/>
        <color theme="1"/>
        <rFont val="Arial"/>
        <family val="2"/>
      </rPr>
      <t>Paste DatLab graph</t>
    </r>
  </si>
  <si>
    <t>a</t>
  </si>
  <si>
    <t>b</t>
  </si>
  <si>
    <t>c</t>
  </si>
  <si>
    <t>d</t>
  </si>
  <si>
    <t>e</t>
  </si>
  <si>
    <r>
      <t xml:space="preserve">Mark statistics </t>
    </r>
    <r>
      <rPr>
        <u/>
        <sz val="10"/>
        <color theme="10"/>
        <rFont val="Calibri"/>
        <family val="2"/>
      </rPr>
      <t>↗</t>
    </r>
    <r>
      <rPr>
        <u/>
        <sz val="10"/>
        <color theme="10"/>
        <rFont val="Webdings"/>
        <family val="1"/>
        <charset val="2"/>
      </rPr>
      <t>2</t>
    </r>
  </si>
  <si>
    <r>
      <t xml:space="preserve">O2 background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</si>
  <si>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r>
      <t xml:space="preserve">SUIT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</si>
  <si>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r>
      <t xml:space="preserve">Subsample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</si>
  <si>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t>←  Graph</t>
  </si>
  <si>
    <t>Range</t>
  </si>
  <si>
    <t>Outlier index</t>
  </si>
  <si>
    <t>↓ Paste Mark statistics</t>
  </si>
  <si>
    <r>
      <rPr>
        <u/>
        <sz val="10"/>
        <color indexed="12"/>
        <rFont val="Calibri"/>
        <family val="2"/>
      </rPr>
      <t>→</t>
    </r>
    <r>
      <rPr>
        <u/>
        <sz val="10"/>
        <color indexed="12"/>
        <rFont val="Arial"/>
        <family val="2"/>
      </rPr>
      <t xml:space="preserve"> Mark statistics</t>
    </r>
  </si>
  <si>
    <r>
      <rPr>
        <u/>
        <sz val="10"/>
        <color indexed="12"/>
        <rFont val="Calibri"/>
        <family val="2"/>
      </rPr>
      <t>→</t>
    </r>
    <r>
      <rPr>
        <u/>
        <sz val="10"/>
        <color indexed="12"/>
        <rFont val="Arial"/>
        <family val="2"/>
      </rPr>
      <t xml:space="preserve">  Mark statistics</t>
    </r>
  </si>
  <si>
    <r>
      <t xml:space="preserve">Sample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</si>
  <si>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t>Type</t>
  </si>
  <si>
    <t>Code</t>
  </si>
  <si>
    <t>#</t>
  </si>
  <si>
    <r>
      <rPr>
        <b/>
        <sz val="12"/>
        <color theme="0"/>
        <rFont val="Calibri"/>
        <family val="2"/>
      </rPr>
      <t>•</t>
    </r>
    <r>
      <rPr>
        <b/>
        <sz val="9.6"/>
        <color theme="0"/>
        <rFont val="Arial"/>
        <family val="2"/>
      </rPr>
      <t xml:space="preserve"> </t>
    </r>
    <r>
      <rPr>
        <b/>
        <sz val="12"/>
        <color theme="0"/>
        <rFont val="Arial"/>
        <family val="2"/>
      </rPr>
      <t>Navigation</t>
    </r>
  </si>
  <si>
    <r>
      <t>n</t>
    </r>
    <r>
      <rPr>
        <b/>
        <sz val="10"/>
        <color theme="0"/>
        <rFont val="Arial"/>
        <family val="2"/>
      </rPr>
      <t>=</t>
    </r>
  </si>
  <si>
    <t>Sample entry number</t>
  </si>
  <si>
    <r>
      <t xml:space="preserve">Copy to project summary </t>
    </r>
    <r>
      <rPr>
        <b/>
        <sz val="10"/>
        <color theme="1"/>
        <rFont val="Calibri"/>
        <family val="2"/>
      </rPr>
      <t>→</t>
    </r>
  </si>
  <si>
    <t>Hyperlink to sample</t>
  </si>
  <si>
    <t>f</t>
  </si>
  <si>
    <t>g</t>
  </si>
  <si>
    <t>h</t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</si>
  <si>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#a</t>
    </r>
  </si>
  <si>
    <t>Subsample entry #a</t>
  </si>
  <si>
    <t>Subsample entry #b</t>
  </si>
  <si>
    <t>Subsample entry #c</t>
  </si>
  <si>
    <t>Subsample entry #d</t>
  </si>
  <si>
    <t>Subsample entry #e</t>
  </si>
  <si>
    <t>Subsample entry #f</t>
  </si>
  <si>
    <t>Subsample entry #g</t>
  </si>
  <si>
    <t>Subsample entry #h</t>
  </si>
  <si>
    <r>
      <t xml:space="preserve">↓  Subsample entry </t>
    </r>
    <r>
      <rPr>
        <b/>
        <u/>
        <sz val="10"/>
        <color theme="1"/>
        <rFont val="Arial"/>
        <family val="2"/>
      </rPr>
      <t>#b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</si>
  <si>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#c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</si>
  <si>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#d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</si>
  <si>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#e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</si>
  <si>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#f</t>
    </r>
  </si>
  <si>
    <r>
      <t>↓  Subsample entry</t>
    </r>
    <r>
      <rPr>
        <b/>
        <u/>
        <sz val="10"/>
        <color theme="1"/>
        <rFont val="Arial"/>
        <family val="2"/>
      </rPr>
      <t xml:space="preserve"> #g</t>
    </r>
  </si>
  <si>
    <r>
      <t xml:space="preserve">↓  Subsample entry </t>
    </r>
    <r>
      <rPr>
        <b/>
        <u/>
        <sz val="10"/>
        <color theme="1"/>
        <rFont val="Arial"/>
        <family val="2"/>
      </rPr>
      <t>#h</t>
    </r>
  </si>
  <si>
    <t>Sample.Subsample</t>
  </si>
  <si>
    <t>Cohort</t>
  </si>
  <si>
    <t>↗ Cohort</t>
  </si>
  <si>
    <t>• Cohort</t>
  </si>
  <si>
    <t xml:space="preserve"> Cohort</t>
  </si>
  <si>
    <t>↖ Graphs Cohort statistics</t>
  </si>
  <si>
    <t>↑ Cohort statistics</t>
  </si>
  <si>
    <t>Copied to Cohort statistics →</t>
  </si>
  <si>
    <t>Comments</t>
  </si>
  <si>
    <r>
      <t xml:space="preserve">SUIT </t>
    </r>
    <r>
      <rPr>
        <u/>
        <sz val="10"/>
        <color theme="10"/>
        <rFont val="Calibri"/>
        <family val="2"/>
      </rPr>
      <t>↗</t>
    </r>
    <r>
      <rPr>
        <u/>
        <sz val="10"/>
        <color theme="10"/>
        <rFont val="Webdings"/>
        <family val="1"/>
        <charset val="2"/>
      </rPr>
      <t>2</t>
    </r>
  </si>
  <si>
    <t>→ Tables: Cohort statistics</t>
  </si>
  <si>
    <t>2A</t>
  </si>
  <si>
    <t>2B</t>
  </si>
  <si>
    <t>3A</t>
  </si>
  <si>
    <t>3B</t>
  </si>
  <si>
    <t>1B</t>
  </si>
  <si>
    <t>6A</t>
  </si>
  <si>
    <t>6B</t>
  </si>
  <si>
    <t>Background intercept</t>
  </si>
  <si>
    <r>
      <rPr>
        <b/>
        <i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°</t>
    </r>
  </si>
  <si>
    <t>Background slope</t>
  </si>
  <si>
    <r>
      <rPr>
        <b/>
        <i/>
        <sz val="10"/>
        <color indexed="8"/>
        <rFont val="Arial"/>
        <family val="2"/>
      </rPr>
      <t>b</t>
    </r>
    <r>
      <rPr>
        <b/>
        <sz val="10"/>
        <color indexed="8"/>
        <rFont val="Arial"/>
        <family val="2"/>
      </rPr>
      <t>°</t>
    </r>
  </si>
  <si>
    <t>4A</t>
  </si>
  <si>
    <t>4B</t>
  </si>
  <si>
    <t>5A</t>
  </si>
  <si>
    <t>7A</t>
  </si>
  <si>
    <t>7B</t>
  </si>
  <si>
    <t>8A</t>
  </si>
  <si>
    <t>8B</t>
  </si>
  <si>
    <t>9A</t>
  </si>
  <si>
    <t>9B</t>
  </si>
  <si>
    <t>10A</t>
  </si>
  <si>
    <t>10B</t>
  </si>
  <si>
    <r>
      <rPr>
        <b/>
        <u/>
        <sz val="10"/>
        <color theme="10"/>
        <rFont val="Calibri"/>
        <family val="2"/>
      </rPr>
      <t>•</t>
    </r>
    <r>
      <rPr>
        <b/>
        <u/>
        <sz val="10"/>
        <color theme="10"/>
        <rFont val="Arial"/>
        <family val="2"/>
      </rPr>
      <t xml:space="preserve"> OROBOROS O2k ↗</t>
    </r>
    <r>
      <rPr>
        <b/>
        <u/>
        <sz val="10"/>
        <color theme="10"/>
        <rFont val="Webdings"/>
        <family val="1"/>
        <charset val="2"/>
      </rPr>
      <t>2</t>
    </r>
  </si>
  <si>
    <t>• O2k</t>
  </si>
  <si>
    <t>O2 background</t>
  </si>
  <si>
    <r>
      <t xml:space="preserve">Default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°</t>
    </r>
  </si>
  <si>
    <r>
      <t xml:space="preserve">Default </t>
    </r>
    <r>
      <rPr>
        <i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°</t>
    </r>
  </si>
  <si>
    <t>Serial-</t>
  </si>
  <si>
    <t>Series</t>
  </si>
  <si>
    <t>FW-</t>
  </si>
  <si>
    <t>P-Date</t>
  </si>
  <si>
    <t>C-Date</t>
  </si>
  <si>
    <t>POS A</t>
  </si>
  <si>
    <t>POS B</t>
  </si>
  <si>
    <t>Nr</t>
  </si>
  <si>
    <t>Version</t>
  </si>
  <si>
    <t>↗ O2 background check</t>
  </si>
  <si>
    <r>
      <rPr>
        <b/>
        <u/>
        <sz val="10"/>
        <color indexed="12"/>
        <rFont val="Calibri"/>
        <family val="2"/>
      </rPr>
      <t>↗</t>
    </r>
    <r>
      <rPr>
        <b/>
        <u/>
        <sz val="10"/>
        <color indexed="12"/>
        <rFont val="Arial"/>
        <family val="2"/>
      </rPr>
      <t xml:space="preserve"> O2k</t>
    </r>
  </si>
  <si>
    <t>→ Coupling-pathway diagram</t>
  </si>
  <si>
    <t>R</t>
  </si>
  <si>
    <t>Design SUIT protocol:</t>
  </si>
  <si>
    <t>Normalization:</t>
  </si>
  <si>
    <t>O2 flow per cells (mt: ROX-corr.)</t>
  </si>
  <si>
    <t>O2 flow per cells</t>
  </si>
  <si>
    <t>FCR (mt:ROX-corr.)</t>
  </si>
  <si>
    <t>FCF(mt: ROX-corr.)</t>
  </si>
  <si>
    <t>pmol/(s*Mill)</t>
  </si>
  <si>
    <t>•</t>
  </si>
  <si>
    <t>Label</t>
  </si>
  <si>
    <t xml:space="preserve"> [Mill cells/ml]</t>
  </si>
  <si>
    <t xml:space="preserve"> [Mill cells/chamber]</t>
  </si>
  <si>
    <t>Mill cells/ml</t>
  </si>
  <si>
    <t>CCP</t>
  </si>
  <si>
    <t>1Omy</t>
  </si>
  <si>
    <t>2U</t>
  </si>
  <si>
    <t>3Rot</t>
  </si>
  <si>
    <t>ETS' specific (2U)</t>
  </si>
  <si>
    <t>ROX (3Rot)</t>
  </si>
  <si>
    <t>inverted</t>
  </si>
  <si>
    <t>Marks from</t>
  </si>
  <si>
    <t>Unit</t>
  </si>
  <si>
    <t>°C</t>
  </si>
  <si>
    <t>Value</t>
  </si>
  <si>
    <t>Start</t>
  </si>
  <si>
    <t>V</t>
  </si>
  <si>
    <t>Stop</t>
  </si>
  <si>
    <t>N Points</t>
  </si>
  <si>
    <t>kPa</t>
  </si>
  <si>
    <t>X</t>
  </si>
  <si>
    <t>Mio. cells/ml</t>
  </si>
  <si>
    <t>Medium</t>
  </si>
  <si>
    <t>Mio. cell</t>
  </si>
  <si>
    <t>E</t>
  </si>
  <si>
    <t>L</t>
  </si>
  <si>
    <t>Coupling-pathway control diagram ↗2</t>
  </si>
  <si>
    <r>
      <rPr>
        <u/>
        <sz val="10"/>
        <color indexed="12"/>
        <rFont val="Calibri"/>
        <family val="2"/>
      </rPr>
      <t xml:space="preserve">↖ </t>
    </r>
    <r>
      <rPr>
        <u/>
        <sz val="10"/>
        <color indexed="12"/>
        <rFont val="Arial"/>
        <family val="2"/>
      </rPr>
      <t>Sample statistics</t>
    </r>
  </si>
  <si>
    <t>Edit the volume added in each step [µl] in the yellow boxes</t>
  </si>
  <si>
    <t>1-Omy/U</t>
  </si>
  <si>
    <t>1-R/U</t>
  </si>
  <si>
    <t>1-Omy/R</t>
  </si>
  <si>
    <t>1-ROX/U</t>
  </si>
  <si>
    <t>3Ama</t>
  </si>
  <si>
    <t>Mark names</t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</si>
  <si>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#1-439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</si>
  <si>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#2-439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</si>
  <si>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#3-439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</si>
  <si>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#4-439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</si>
  <si>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#5-439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</si>
  <si>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#6-439</t>
    </r>
  </si>
  <si>
    <t>↘ #1-439</t>
  </si>
  <si>
    <t>↗ Cohort-439</t>
  </si>
  <si>
    <t>↘ #2-439</t>
  </si>
  <si>
    <t>↘ #3-439</t>
  </si>
  <si>
    <t>↘ #4-439</t>
  </si>
  <si>
    <t>↘ #5-439</t>
  </si>
  <si>
    <t>↘ #6-439</t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</si>
  <si>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#1-32D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</si>
  <si>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#2-32D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</si>
  <si>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#3-32D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</si>
  <si>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#4-32D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</si>
  <si>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#5-32D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</si>
  <si>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#6-32D</t>
    </r>
  </si>
  <si>
    <t>↘ #1-32D</t>
  </si>
  <si>
    <t>↘ #2-32D</t>
  </si>
  <si>
    <t>↘ #3-32D</t>
  </si>
  <si>
    <t>↘ #4-32D</t>
  </si>
  <si>
    <t>↘ #5-32D</t>
  </si>
  <si>
    <t>↘ #6-32D</t>
  </si>
  <si>
    <t>MIPNET10.04_CELLS_2005-04-09 P3-02.DLD</t>
  </si>
  <si>
    <t>P3</t>
  </si>
  <si>
    <t>WGT0101</t>
  </si>
  <si>
    <t>32D</t>
  </si>
  <si>
    <t>3A: O2 concentration</t>
  </si>
  <si>
    <t>3A: O2 slope neg.</t>
  </si>
  <si>
    <t>RPMI</t>
  </si>
  <si>
    <t>WGT0127</t>
  </si>
  <si>
    <t>3B: O2 concentration</t>
  </si>
  <si>
    <t>3B: O2 slope neg.</t>
  </si>
  <si>
    <t>A</t>
  </si>
  <si>
    <t>B</t>
  </si>
  <si>
    <t>2005-04-09 CD-01.DLD</t>
  </si>
  <si>
    <t>P2</t>
  </si>
  <si>
    <t>WGT0102</t>
  </si>
  <si>
    <t>2A: O2 concentration</t>
  </si>
  <si>
    <t>2A: O2 slope neg.</t>
  </si>
  <si>
    <t>2B: O2 concentration</t>
  </si>
  <si>
    <t>2B: O2 slope neg.</t>
  </si>
  <si>
    <t>2005-04-09 EF-01A.DLD</t>
  </si>
  <si>
    <t>2005-04-09 GH-03.DLD</t>
  </si>
  <si>
    <t>P4</t>
  </si>
  <si>
    <t>WGT0119</t>
  </si>
  <si>
    <t>4A: O2 concentration</t>
  </si>
  <si>
    <t>4A: O2 slope neg.</t>
  </si>
  <si>
    <t>WGT0120</t>
  </si>
  <si>
    <t>4B: O2 concentration</t>
  </si>
  <si>
    <t>4B: O2 slope neg.</t>
  </si>
  <si>
    <t>DatLab 7 Template 16-07-19</t>
  </si>
  <si>
    <t>DatLab 7 Template 16-07-20</t>
  </si>
  <si>
    <t>• Cohort 32D</t>
  </si>
  <si>
    <t>• Cohort 439</t>
  </si>
  <si>
    <t>32 D Cells</t>
  </si>
  <si>
    <t>439 Cells</t>
  </si>
  <si>
    <t>MiPNet10.04_IntactCells.DLD</t>
  </si>
  <si>
    <t>MiPNet10.04_IntactCellsP2.DLD</t>
  </si>
  <si>
    <t>MiPNet10.04_IntactCellsP2-02.DLD</t>
  </si>
  <si>
    <t>MiPNet10.04_IntactCellsP4.DLD</t>
  </si>
  <si>
    <r>
      <t>• Help O2 Flux Analysis ↗</t>
    </r>
    <r>
      <rPr>
        <b/>
        <u/>
        <sz val="10"/>
        <color theme="10"/>
        <rFont val="Webdings"/>
        <family val="1"/>
        <charset val="2"/>
      </rPr>
      <t>2</t>
    </r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</si>
</sst>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0.000"/>
    <numFmt numFmtId="167" formatCode="yyyy\-mm\-dd;@"/>
  </numFmts>
  <fonts count="6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color indexed="10"/>
      <name val="Arial"/>
      <family val="2"/>
    </font>
    <font>
      <sz val="10"/>
      <color indexed="23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b/>
      <sz val="10"/>
      <color indexed="81"/>
      <name val="Arial"/>
      <family val="2"/>
    </font>
    <font>
      <i/>
      <sz val="10"/>
      <color indexed="8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Calibri"/>
      <family val="2"/>
    </font>
    <font>
      <b/>
      <sz val="11"/>
      <color theme="1"/>
      <name val="Calibri"/>
      <family val="2"/>
      <scheme val="minor"/>
    </font>
    <font>
      <u/>
      <sz val="7.7"/>
      <color theme="10"/>
      <name val="Calibri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2856BA"/>
      <name val="Arial"/>
      <family val="2"/>
    </font>
    <font>
      <b/>
      <i/>
      <sz val="10"/>
      <color theme="1"/>
      <name val="Arial"/>
      <family val="2"/>
    </font>
    <font>
      <b/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1"/>
      <name val="Calibri"/>
      <family val="2"/>
      <scheme val="minor"/>
    </font>
    <font>
      <b/>
      <u/>
      <sz val="10"/>
      <color theme="10"/>
      <name val="Webdings"/>
      <family val="1"/>
      <charset val="2"/>
    </font>
    <font>
      <u/>
      <sz val="10"/>
      <color theme="10"/>
      <name val="Webdings"/>
      <family val="1"/>
      <charset val="2"/>
    </font>
    <font>
      <b/>
      <sz val="12"/>
      <color theme="0"/>
      <name val="Arial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u/>
      <sz val="10"/>
      <color theme="10"/>
      <name val="Calibri"/>
      <family val="2"/>
    </font>
    <font>
      <b/>
      <u/>
      <sz val="10"/>
      <color theme="10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B2B2B2"/>
      <name val="Arial"/>
      <family val="2"/>
    </font>
    <font>
      <sz val="10"/>
      <color rgb="FFB2B2B2"/>
      <name val="Arial"/>
      <family val="2"/>
    </font>
    <font>
      <b/>
      <u/>
      <sz val="10"/>
      <color indexed="12"/>
      <name val="Arial"/>
      <family val="2"/>
    </font>
    <font>
      <b/>
      <sz val="12"/>
      <color theme="0"/>
      <name val="Calibri"/>
      <family val="2"/>
    </font>
    <font>
      <b/>
      <sz val="9.6"/>
      <color theme="0"/>
      <name val="Arial"/>
      <family val="2"/>
    </font>
    <font>
      <b/>
      <sz val="10"/>
      <color rgb="FFFFFF00"/>
      <name val="Arial"/>
      <family val="2"/>
    </font>
    <font>
      <sz val="10"/>
      <color theme="0"/>
      <name val="Arial"/>
      <family val="2"/>
    </font>
    <font>
      <b/>
      <i/>
      <sz val="10"/>
      <color theme="0"/>
      <name val="Arial"/>
      <family val="2"/>
    </font>
    <font>
      <sz val="10"/>
      <color rgb="FF2856BA"/>
      <name val="Arial"/>
      <family val="2"/>
    </font>
    <font>
      <b/>
      <sz val="10"/>
      <color rgb="FF969696"/>
      <name val="Arial"/>
      <family val="2"/>
    </font>
    <font>
      <sz val="10"/>
      <color rgb="FF969696"/>
      <name val="Arial"/>
      <family val="2"/>
    </font>
    <font>
      <b/>
      <sz val="10"/>
      <color theme="0" tint="-0.34998626667073579"/>
      <name val="Arial"/>
      <family val="2"/>
    </font>
    <font>
      <sz val="9"/>
      <color indexed="81"/>
      <name val="Tahoma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008000"/>
      <name val="Arial"/>
      <family val="2"/>
    </font>
    <font>
      <sz val="10"/>
      <color rgb="FF000000"/>
      <name val="Arial"/>
      <family val="2"/>
    </font>
    <font>
      <i/>
      <sz val="11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u/>
      <sz val="10"/>
      <color indexed="12"/>
      <name val="Calibri"/>
      <family val="2"/>
    </font>
    <font>
      <b/>
      <i/>
      <sz val="10"/>
      <color rgb="FF0000FF"/>
      <name val="Arial"/>
      <family val="2"/>
    </font>
    <font>
      <b/>
      <sz val="10"/>
      <color rgb="FFFFFFFF"/>
      <name val="Arial"/>
      <family val="2"/>
    </font>
    <font>
      <b/>
      <i/>
      <sz val="10"/>
      <color rgb="FF00B050"/>
      <name val="Arial"/>
      <family val="2"/>
    </font>
    <font>
      <b/>
      <i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856B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66FF3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36">
    <xf numFmtId="0" fontId="0" fillId="0" borderId="0" xfId="0"/>
    <xf numFmtId="0" fontId="17" fillId="0" borderId="0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vertical="top"/>
    </xf>
    <xf numFmtId="2" fontId="2" fillId="0" borderId="1" xfId="0" applyNumberFormat="1" applyFont="1" applyFill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164" fontId="18" fillId="0" borderId="1" xfId="0" applyNumberFormat="1" applyFont="1" applyBorder="1" applyAlignment="1">
      <alignment vertical="top"/>
    </xf>
    <xf numFmtId="164" fontId="18" fillId="3" borderId="1" xfId="0" applyNumberFormat="1" applyFont="1" applyFill="1" applyBorder="1" applyAlignment="1">
      <alignment vertical="top"/>
    </xf>
    <xf numFmtId="0" fontId="19" fillId="4" borderId="0" xfId="0" applyFont="1" applyFill="1" applyAlignment="1">
      <alignment horizontal="left" vertical="top"/>
    </xf>
    <xf numFmtId="49" fontId="2" fillId="0" borderId="2" xfId="0" applyNumberFormat="1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0" fontId="21" fillId="0" borderId="2" xfId="0" applyNumberFormat="1" applyFont="1" applyBorder="1" applyAlignment="1">
      <alignment horizontal="left" vertical="top"/>
    </xf>
    <xf numFmtId="0" fontId="17" fillId="3" borderId="0" xfId="0" applyFont="1" applyFill="1" applyAlignment="1">
      <alignment horizontal="left" vertical="top"/>
    </xf>
    <xf numFmtId="0" fontId="17" fillId="3" borderId="0" xfId="0" applyFont="1" applyFill="1" applyAlignment="1">
      <alignment vertical="top"/>
    </xf>
    <xf numFmtId="0" fontId="2" fillId="8" borderId="0" xfId="0" applyFont="1" applyFill="1" applyAlignment="1">
      <alignment vertical="top"/>
    </xf>
    <xf numFmtId="21" fontId="22" fillId="3" borderId="0" xfId="2" applyNumberFormat="1" applyFont="1" applyFill="1" applyAlignment="1">
      <alignment vertical="top"/>
    </xf>
    <xf numFmtId="21" fontId="18" fillId="3" borderId="1" xfId="2" applyNumberFormat="1" applyFont="1" applyFill="1" applyBorder="1" applyAlignment="1">
      <alignment vertical="top"/>
    </xf>
    <xf numFmtId="0" fontId="19" fillId="0" borderId="1" xfId="0" applyFont="1" applyBorder="1" applyAlignment="1">
      <alignment horizontal="left" vertical="top"/>
    </xf>
    <xf numFmtId="0" fontId="5" fillId="3" borderId="0" xfId="0" applyFont="1" applyFill="1" applyAlignment="1">
      <alignment vertical="top"/>
    </xf>
    <xf numFmtId="0" fontId="0" fillId="0" borderId="0" xfId="0" applyFill="1"/>
    <xf numFmtId="164" fontId="18" fillId="0" borderId="1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center" vertical="top"/>
    </xf>
    <xf numFmtId="0" fontId="21" fillId="0" borderId="0" xfId="0" applyNumberFormat="1" applyFont="1" applyBorder="1" applyAlignment="1">
      <alignment horizontal="left" vertical="top"/>
    </xf>
    <xf numFmtId="2" fontId="2" fillId="0" borderId="0" xfId="0" applyNumberFormat="1" applyFont="1" applyFill="1" applyBorder="1" applyAlignment="1">
      <alignment vertical="top"/>
    </xf>
    <xf numFmtId="14" fontId="19" fillId="0" borderId="0" xfId="0" applyNumberFormat="1" applyFont="1" applyFill="1" applyBorder="1" applyAlignment="1">
      <alignment horizontal="left" vertical="top"/>
    </xf>
    <xf numFmtId="164" fontId="18" fillId="0" borderId="0" xfId="0" applyNumberFormat="1" applyFont="1" applyFill="1" applyBorder="1" applyAlignment="1">
      <alignment vertical="top"/>
    </xf>
    <xf numFmtId="21" fontId="6" fillId="0" borderId="0" xfId="0" applyNumberFormat="1" applyFont="1" applyBorder="1" applyAlignment="1">
      <alignment vertical="top"/>
    </xf>
    <xf numFmtId="49" fontId="18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0" fontId="19" fillId="0" borderId="3" xfId="0" applyNumberFormat="1" applyFont="1" applyFill="1" applyBorder="1" applyAlignment="1">
      <alignment horizontal="center" vertical="top"/>
    </xf>
    <xf numFmtId="0" fontId="20" fillId="5" borderId="3" xfId="0" applyNumberFormat="1" applyFont="1" applyFill="1" applyBorder="1" applyAlignment="1">
      <alignment horizontal="right" vertical="top"/>
    </xf>
    <xf numFmtId="0" fontId="20" fillId="7" borderId="3" xfId="0" applyNumberFormat="1" applyFont="1" applyFill="1" applyBorder="1" applyAlignment="1">
      <alignment horizontal="right" vertical="top"/>
    </xf>
    <xf numFmtId="0" fontId="20" fillId="6" borderId="3" xfId="0" applyNumberFormat="1" applyFont="1" applyFill="1" applyBorder="1" applyAlignment="1">
      <alignment horizontal="right" vertical="top"/>
    </xf>
    <xf numFmtId="49" fontId="2" fillId="10" borderId="3" xfId="0" applyNumberFormat="1" applyFont="1" applyFill="1" applyBorder="1" applyAlignment="1">
      <alignment vertical="top"/>
    </xf>
    <xf numFmtId="49" fontId="2" fillId="10" borderId="3" xfId="0" applyNumberFormat="1" applyFont="1" applyFill="1" applyBorder="1" applyAlignment="1">
      <alignment horizontal="left" vertical="top"/>
    </xf>
    <xf numFmtId="2" fontId="8" fillId="10" borderId="3" xfId="0" applyNumberFormat="1" applyFont="1" applyFill="1" applyBorder="1" applyAlignment="1">
      <alignment vertical="top"/>
    </xf>
    <xf numFmtId="49" fontId="18" fillId="0" borderId="0" xfId="0" applyNumberFormat="1" applyFont="1" applyFill="1" applyBorder="1" applyAlignment="1">
      <alignment vertical="top"/>
    </xf>
    <xf numFmtId="164" fontId="23" fillId="0" borderId="0" xfId="0" applyNumberFormat="1" applyFont="1" applyFill="1" applyBorder="1" applyAlignment="1">
      <alignment vertical="top"/>
    </xf>
    <xf numFmtId="164" fontId="24" fillId="0" borderId="0" xfId="0" applyNumberFormat="1" applyFont="1" applyFill="1" applyAlignment="1">
      <alignment vertical="top"/>
    </xf>
    <xf numFmtId="0" fontId="2" fillId="0" borderId="0" xfId="0" applyFont="1" applyBorder="1" applyAlignment="1">
      <alignment horizontal="center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2" fontId="3" fillId="0" borderId="0" xfId="0" applyNumberFormat="1" applyFont="1" applyAlignment="1">
      <alignment vertical="top"/>
    </xf>
    <xf numFmtId="0" fontId="21" fillId="0" borderId="6" xfId="0" applyNumberFormat="1" applyFont="1" applyBorder="1" applyAlignment="1">
      <alignment horizontal="left" vertical="top"/>
    </xf>
    <xf numFmtId="49" fontId="18" fillId="10" borderId="11" xfId="0" applyNumberFormat="1" applyFont="1" applyFill="1" applyBorder="1" applyAlignment="1">
      <alignment vertical="top"/>
    </xf>
    <xf numFmtId="49" fontId="18" fillId="10" borderId="3" xfId="0" applyNumberFormat="1" applyFont="1" applyFill="1" applyBorder="1" applyAlignment="1">
      <alignment vertical="top"/>
    </xf>
    <xf numFmtId="49" fontId="25" fillId="10" borderId="3" xfId="0" applyNumberFormat="1" applyFont="1" applyFill="1" applyBorder="1" applyAlignment="1">
      <alignment vertical="top"/>
    </xf>
    <xf numFmtId="49" fontId="19" fillId="10" borderId="3" xfId="0" applyNumberFormat="1" applyFont="1" applyFill="1" applyBorder="1" applyAlignment="1">
      <alignment vertical="top"/>
    </xf>
    <xf numFmtId="0" fontId="26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right" vertical="top"/>
    </xf>
    <xf numFmtId="0" fontId="19" fillId="0" borderId="14" xfId="0" applyFont="1" applyFill="1" applyBorder="1" applyAlignment="1">
      <alignment horizontal="center" vertical="top"/>
    </xf>
    <xf numFmtId="49" fontId="1" fillId="0" borderId="1" xfId="0" applyNumberFormat="1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center" vertical="top"/>
    </xf>
    <xf numFmtId="49" fontId="2" fillId="10" borderId="16" xfId="0" applyNumberFormat="1" applyFont="1" applyFill="1" applyBorder="1" applyAlignment="1">
      <alignment vertical="top"/>
    </xf>
    <xf numFmtId="166" fontId="2" fillId="10" borderId="17" xfId="0" applyNumberFormat="1" applyFont="1" applyFill="1" applyBorder="1" applyAlignment="1">
      <alignment vertical="top"/>
    </xf>
    <xf numFmtId="49" fontId="17" fillId="0" borderId="2" xfId="0" applyNumberFormat="1" applyFont="1" applyBorder="1" applyAlignment="1">
      <alignment horizontal="left" vertical="top"/>
    </xf>
    <xf numFmtId="164" fontId="1" fillId="0" borderId="18" xfId="0" applyNumberFormat="1" applyFont="1" applyFill="1" applyBorder="1" applyAlignment="1">
      <alignment horizontal="center" vertical="top"/>
    </xf>
    <xf numFmtId="167" fontId="2" fillId="0" borderId="0" xfId="0" applyNumberFormat="1" applyFont="1" applyFill="1" applyBorder="1" applyAlignment="1">
      <alignment horizontal="left" vertical="top"/>
    </xf>
    <xf numFmtId="49" fontId="6" fillId="3" borderId="13" xfId="0" applyNumberFormat="1" applyFont="1" applyFill="1" applyBorder="1" applyAlignment="1">
      <alignment horizontal="left" vertical="top"/>
    </xf>
    <xf numFmtId="49" fontId="6" fillId="3" borderId="12" xfId="0" applyNumberFormat="1" applyFont="1" applyFill="1" applyBorder="1" applyAlignment="1">
      <alignment horizontal="left" vertical="top"/>
    </xf>
    <xf numFmtId="49" fontId="7" fillId="3" borderId="18" xfId="0" applyNumberFormat="1" applyFont="1" applyFill="1" applyBorder="1" applyAlignment="1">
      <alignment vertical="top"/>
    </xf>
    <xf numFmtId="49" fontId="4" fillId="7" borderId="13" xfId="0" applyNumberFormat="1" applyFont="1" applyFill="1" applyBorder="1" applyAlignment="1">
      <alignment vertical="top"/>
    </xf>
    <xf numFmtId="49" fontId="2" fillId="2" borderId="22" xfId="0" applyNumberFormat="1" applyFont="1" applyFill="1" applyBorder="1" applyAlignment="1">
      <alignment vertical="top"/>
    </xf>
    <xf numFmtId="164" fontId="4" fillId="7" borderId="5" xfId="0" applyNumberFormat="1" applyFont="1" applyFill="1" applyBorder="1" applyAlignment="1">
      <alignment vertical="top"/>
    </xf>
    <xf numFmtId="164" fontId="2" fillId="2" borderId="23" xfId="0" applyNumberFormat="1" applyFont="1" applyFill="1" applyBorder="1" applyAlignment="1">
      <alignment vertical="top"/>
    </xf>
    <xf numFmtId="164" fontId="22" fillId="3" borderId="0" xfId="0" applyNumberFormat="1" applyFont="1" applyFill="1" applyAlignment="1">
      <alignment vertical="top"/>
    </xf>
    <xf numFmtId="164" fontId="2" fillId="10" borderId="3" xfId="0" applyNumberFormat="1" applyFont="1" applyFill="1" applyBorder="1" applyAlignment="1">
      <alignment horizontal="center" vertical="top"/>
    </xf>
    <xf numFmtId="164" fontId="24" fillId="3" borderId="1" xfId="0" applyNumberFormat="1" applyFont="1" applyFill="1" applyBorder="1" applyAlignment="1">
      <alignment vertical="top"/>
    </xf>
    <xf numFmtId="0" fontId="17" fillId="3" borderId="5" xfId="0" applyFont="1" applyFill="1" applyBorder="1" applyAlignment="1">
      <alignment horizontal="center" vertical="top"/>
    </xf>
    <xf numFmtId="49" fontId="5" fillId="0" borderId="0" xfId="0" applyNumberFormat="1" applyFont="1" applyAlignment="1">
      <alignment horizontal="left" vertical="top"/>
    </xf>
    <xf numFmtId="0" fontId="5" fillId="3" borderId="0" xfId="0" applyFont="1" applyFill="1" applyAlignment="1">
      <alignment horizontal="center" vertical="top"/>
    </xf>
    <xf numFmtId="164" fontId="5" fillId="0" borderId="0" xfId="0" applyNumberFormat="1" applyFont="1" applyAlignment="1">
      <alignment horizontal="center" vertical="top"/>
    </xf>
    <xf numFmtId="164" fontId="18" fillId="0" borderId="0" xfId="0" applyNumberFormat="1" applyFont="1" applyBorder="1" applyAlignment="1">
      <alignment vertical="top"/>
    </xf>
    <xf numFmtId="49" fontId="21" fillId="0" borderId="2" xfId="0" applyNumberFormat="1" applyFont="1" applyBorder="1" applyAlignment="1">
      <alignment horizontal="left" vertical="top"/>
    </xf>
    <xf numFmtId="0" fontId="15" fillId="0" borderId="0" xfId="0" applyFont="1" applyFill="1" applyAlignment="1">
      <alignment horizontal="center"/>
    </xf>
    <xf numFmtId="0" fontId="17" fillId="0" borderId="1" xfId="0" applyFont="1" applyBorder="1" applyAlignment="1">
      <alignment horizontal="left" vertical="top"/>
    </xf>
    <xf numFmtId="0" fontId="8" fillId="0" borderId="0" xfId="0" applyFont="1" applyFill="1" applyAlignment="1">
      <alignment horizontal="center" vertical="top"/>
    </xf>
    <xf numFmtId="0" fontId="3" fillId="3" borderId="0" xfId="0" applyFont="1" applyFill="1" applyAlignment="1">
      <alignment vertical="top"/>
    </xf>
    <xf numFmtId="2" fontId="3" fillId="3" borderId="0" xfId="0" applyNumberFormat="1" applyFont="1" applyFill="1" applyBorder="1" applyAlignment="1">
      <alignment vertical="top"/>
    </xf>
    <xf numFmtId="165" fontId="3" fillId="3" borderId="0" xfId="0" applyNumberFormat="1" applyFont="1" applyFill="1" applyBorder="1" applyAlignment="1">
      <alignment vertical="top"/>
    </xf>
    <xf numFmtId="164" fontId="3" fillId="3" borderId="0" xfId="0" applyNumberFormat="1" applyFont="1" applyFill="1" applyBorder="1" applyAlignment="1">
      <alignment vertical="top"/>
    </xf>
    <xf numFmtId="164" fontId="3" fillId="3" borderId="0" xfId="0" applyNumberFormat="1" applyFont="1" applyFill="1" applyAlignment="1">
      <alignment vertical="top"/>
    </xf>
    <xf numFmtId="0" fontId="19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horizontal="center" vertical="top"/>
    </xf>
    <xf numFmtId="2" fontId="19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Fill="1" applyAlignment="1">
      <alignment horizontal="center" vertical="top"/>
    </xf>
    <xf numFmtId="0" fontId="0" fillId="0" borderId="1" xfId="0" applyBorder="1"/>
    <xf numFmtId="0" fontId="19" fillId="0" borderId="1" xfId="0" applyFont="1" applyFill="1" applyBorder="1" applyAlignment="1">
      <alignment horizontal="center" vertical="top"/>
    </xf>
    <xf numFmtId="49" fontId="28" fillId="0" borderId="7" xfId="1" applyNumberFormat="1" applyFont="1" applyFill="1" applyBorder="1" applyAlignment="1" applyProtection="1">
      <alignment vertical="top"/>
    </xf>
    <xf numFmtId="0" fontId="0" fillId="0" borderId="0" xfId="0" applyFont="1" applyFill="1" applyAlignment="1">
      <alignment horizontal="center"/>
    </xf>
    <xf numFmtId="2" fontId="19" fillId="0" borderId="15" xfId="0" applyNumberFormat="1" applyFont="1" applyFill="1" applyBorder="1" applyAlignment="1">
      <alignment vertical="top"/>
    </xf>
    <xf numFmtId="0" fontId="19" fillId="0" borderId="15" xfId="0" applyFont="1" applyFill="1" applyBorder="1" applyAlignment="1">
      <alignment vertical="top"/>
    </xf>
    <xf numFmtId="166" fontId="8" fillId="0" borderId="2" xfId="0" applyNumberFormat="1" applyFont="1" applyFill="1" applyBorder="1" applyAlignment="1">
      <alignment horizontal="center" vertical="top"/>
    </xf>
    <xf numFmtId="0" fontId="2" fillId="4" borderId="0" xfId="0" applyFont="1" applyFill="1" applyBorder="1" applyAlignment="1">
      <alignment vertical="top"/>
    </xf>
    <xf numFmtId="0" fontId="2" fillId="3" borderId="0" xfId="0" applyFont="1" applyFill="1" applyAlignment="1">
      <alignment vertical="top"/>
    </xf>
    <xf numFmtId="0" fontId="8" fillId="3" borderId="0" xfId="0" applyFont="1" applyFill="1" applyAlignment="1">
      <alignment vertical="top"/>
    </xf>
    <xf numFmtId="0" fontId="22" fillId="3" borderId="0" xfId="2" applyFont="1" applyFill="1" applyAlignment="1">
      <alignment vertical="top"/>
    </xf>
    <xf numFmtId="0" fontId="6" fillId="3" borderId="1" xfId="0" applyFont="1" applyFill="1" applyBorder="1" applyAlignment="1">
      <alignment horizontal="center" vertical="top"/>
    </xf>
    <xf numFmtId="0" fontId="18" fillId="3" borderId="1" xfId="2" applyFont="1" applyFill="1" applyBorder="1" applyAlignment="1">
      <alignment vertical="top"/>
    </xf>
    <xf numFmtId="49" fontId="22" fillId="3" borderId="1" xfId="2" applyNumberFormat="1" applyFont="1" applyFill="1" applyBorder="1" applyAlignment="1">
      <alignment vertical="top"/>
    </xf>
    <xf numFmtId="0" fontId="17" fillId="3" borderId="3" xfId="0" applyNumberFormat="1" applyFont="1" applyFill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/>
    </xf>
    <xf numFmtId="0" fontId="21" fillId="3" borderId="3" xfId="0" applyFont="1" applyFill="1" applyBorder="1" applyAlignment="1">
      <alignment vertical="top"/>
    </xf>
    <xf numFmtId="0" fontId="21" fillId="3" borderId="3" xfId="0" applyFont="1" applyFill="1" applyBorder="1" applyAlignment="1">
      <alignment horizontal="left" vertical="top"/>
    </xf>
    <xf numFmtId="49" fontId="17" fillId="10" borderId="3" xfId="0" applyNumberFormat="1" applyFont="1" applyFill="1" applyBorder="1" applyAlignment="1">
      <alignment horizontal="left" vertical="top"/>
    </xf>
    <xf numFmtId="49" fontId="17" fillId="10" borderId="0" xfId="0" applyNumberFormat="1" applyFont="1" applyFill="1" applyBorder="1" applyAlignment="1">
      <alignment horizontal="left" vertical="top"/>
    </xf>
    <xf numFmtId="164" fontId="17" fillId="3" borderId="3" xfId="0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17" fillId="3" borderId="0" xfId="0" applyFont="1" applyFill="1" applyBorder="1" applyAlignment="1">
      <alignment vertical="top"/>
    </xf>
    <xf numFmtId="0" fontId="17" fillId="0" borderId="1" xfId="0" applyFont="1" applyBorder="1" applyAlignment="1">
      <alignment horizontal="center" vertical="top"/>
    </xf>
    <xf numFmtId="0" fontId="21" fillId="3" borderId="1" xfId="0" applyFont="1" applyFill="1" applyBorder="1" applyAlignment="1">
      <alignment vertical="top"/>
    </xf>
    <xf numFmtId="0" fontId="21" fillId="3" borderId="1" xfId="0" applyFont="1" applyFill="1" applyBorder="1" applyAlignment="1">
      <alignment horizontal="center" vertical="top"/>
    </xf>
    <xf numFmtId="164" fontId="17" fillId="3" borderId="4" xfId="0" applyNumberFormat="1" applyFont="1" applyFill="1" applyBorder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 vertical="top"/>
    </xf>
    <xf numFmtId="49" fontId="17" fillId="0" borderId="1" xfId="0" applyNumberFormat="1" applyFont="1" applyBorder="1" applyAlignment="1">
      <alignment horizontal="left" vertical="top"/>
    </xf>
    <xf numFmtId="164" fontId="17" fillId="3" borderId="1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 vertical="top"/>
    </xf>
    <xf numFmtId="49" fontId="17" fillId="0" borderId="0" xfId="0" applyNumberFormat="1" applyFont="1" applyAlignment="1">
      <alignment vertical="top"/>
    </xf>
    <xf numFmtId="49" fontId="17" fillId="0" borderId="0" xfId="0" applyNumberFormat="1" applyFont="1" applyFill="1" applyAlignment="1">
      <alignment horizontal="left" vertical="top"/>
    </xf>
    <xf numFmtId="164" fontId="17" fillId="0" borderId="0" xfId="0" applyNumberFormat="1" applyFont="1" applyFill="1" applyAlignment="1">
      <alignment vertical="top"/>
    </xf>
    <xf numFmtId="49" fontId="17" fillId="0" borderId="0" xfId="0" applyNumberFormat="1" applyFont="1" applyFill="1" applyAlignment="1">
      <alignment vertical="top"/>
    </xf>
    <xf numFmtId="164" fontId="17" fillId="0" borderId="0" xfId="0" applyNumberFormat="1" applyFont="1" applyFill="1" applyAlignment="1">
      <alignment horizontal="center" vertical="top"/>
    </xf>
    <xf numFmtId="0" fontId="17" fillId="0" borderId="0" xfId="0" applyFont="1" applyFill="1" applyAlignment="1">
      <alignment horizontal="left" vertical="top"/>
    </xf>
    <xf numFmtId="0" fontId="17" fillId="0" borderId="0" xfId="0" applyFont="1" applyAlignment="1">
      <alignment vertical="top"/>
    </xf>
    <xf numFmtId="0" fontId="17" fillId="0" borderId="0" xfId="0" applyFont="1" applyBorder="1" applyAlignment="1">
      <alignment vertical="top"/>
    </xf>
    <xf numFmtId="164" fontId="17" fillId="0" borderId="0" xfId="0" applyNumberFormat="1" applyFont="1" applyAlignment="1">
      <alignment vertical="top"/>
    </xf>
    <xf numFmtId="0" fontId="21" fillId="3" borderId="0" xfId="0" applyFont="1" applyFill="1" applyAlignment="1">
      <alignment vertical="top"/>
    </xf>
    <xf numFmtId="0" fontId="21" fillId="3" borderId="0" xfId="0" applyFont="1" applyFill="1" applyAlignment="1">
      <alignment horizontal="center" vertical="top"/>
    </xf>
    <xf numFmtId="2" fontId="17" fillId="0" borderId="5" xfId="0" applyNumberFormat="1" applyFont="1" applyBorder="1" applyAlignment="1">
      <alignment horizontal="center" vertical="top"/>
    </xf>
    <xf numFmtId="49" fontId="25" fillId="0" borderId="0" xfId="0" applyNumberFormat="1" applyFont="1" applyAlignment="1">
      <alignment horizontal="left" vertical="top"/>
    </xf>
    <xf numFmtId="164" fontId="17" fillId="3" borderId="0" xfId="0" applyNumberFormat="1" applyFont="1" applyFill="1" applyBorder="1" applyAlignment="1">
      <alignment horizontal="left" vertical="top"/>
    </xf>
    <xf numFmtId="49" fontId="17" fillId="0" borderId="0" xfId="0" applyNumberFormat="1" applyFont="1" applyBorder="1" applyAlignment="1">
      <alignment vertical="top"/>
    </xf>
    <xf numFmtId="49" fontId="17" fillId="0" borderId="0" xfId="0" applyNumberFormat="1" applyFont="1" applyAlignment="1">
      <alignment horizontal="left" vertical="top"/>
    </xf>
    <xf numFmtId="2" fontId="17" fillId="0" borderId="0" xfId="0" applyNumberFormat="1" applyFont="1" applyBorder="1" applyAlignment="1">
      <alignment horizontal="center" vertical="top"/>
    </xf>
    <xf numFmtId="166" fontId="17" fillId="0" borderId="0" xfId="0" applyNumberFormat="1" applyFont="1" applyBorder="1" applyAlignment="1">
      <alignment vertical="top"/>
    </xf>
    <xf numFmtId="164" fontId="17" fillId="3" borderId="0" xfId="0" applyNumberFormat="1" applyFont="1" applyFill="1" applyAlignment="1">
      <alignment vertical="top"/>
    </xf>
    <xf numFmtId="164" fontId="17" fillId="0" borderId="0" xfId="0" applyNumberFormat="1" applyFont="1" applyFill="1" applyBorder="1" applyAlignment="1">
      <alignment horizontal="left" vertical="top"/>
    </xf>
    <xf numFmtId="164" fontId="17" fillId="0" borderId="0" xfId="0" applyNumberFormat="1" applyFont="1" applyBorder="1" applyAlignment="1">
      <alignment vertical="top"/>
    </xf>
    <xf numFmtId="2" fontId="17" fillId="3" borderId="0" xfId="0" applyNumberFormat="1" applyFont="1" applyFill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21" fillId="0" borderId="6" xfId="0" applyFont="1" applyFill="1" applyBorder="1" applyAlignment="1">
      <alignment vertical="top"/>
    </xf>
    <xf numFmtId="0" fontId="1" fillId="3" borderId="6" xfId="0" applyFont="1" applyFill="1" applyBorder="1" applyAlignment="1">
      <alignment vertical="top"/>
    </xf>
    <xf numFmtId="0" fontId="17" fillId="0" borderId="6" xfId="0" applyFont="1" applyFill="1" applyBorder="1" applyAlignment="1">
      <alignment horizontal="left" vertical="top"/>
    </xf>
    <xf numFmtId="49" fontId="17" fillId="0" borderId="6" xfId="0" applyNumberFormat="1" applyFont="1" applyBorder="1" applyAlignment="1">
      <alignment vertical="top"/>
    </xf>
    <xf numFmtId="0" fontId="17" fillId="0" borderId="6" xfId="0" applyFont="1" applyBorder="1" applyAlignment="1">
      <alignment vertical="top"/>
    </xf>
    <xf numFmtId="0" fontId="21" fillId="3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7" fillId="3" borderId="0" xfId="0" applyFont="1" applyFill="1" applyBorder="1" applyAlignment="1">
      <alignment horizontal="center" vertical="top"/>
    </xf>
    <xf numFmtId="0" fontId="17" fillId="3" borderId="9" xfId="0" applyFont="1" applyFill="1" applyBorder="1" applyAlignment="1">
      <alignment vertical="top"/>
    </xf>
    <xf numFmtId="0" fontId="19" fillId="3" borderId="0" xfId="0" applyFont="1" applyFill="1" applyBorder="1" applyAlignment="1">
      <alignment vertical="top"/>
    </xf>
    <xf numFmtId="0" fontId="19" fillId="3" borderId="1" xfId="0" applyFont="1" applyFill="1" applyBorder="1" applyAlignment="1">
      <alignment vertical="top"/>
    </xf>
    <xf numFmtId="49" fontId="17" fillId="0" borderId="2" xfId="0" applyNumberFormat="1" applyFont="1" applyBorder="1" applyAlignment="1">
      <alignment vertical="top"/>
    </xf>
    <xf numFmtId="164" fontId="19" fillId="10" borderId="11" xfId="0" applyNumberFormat="1" applyFont="1" applyFill="1" applyBorder="1" applyAlignment="1">
      <alignment horizontal="left" vertical="top"/>
    </xf>
    <xf numFmtId="49" fontId="19" fillId="10" borderId="11" xfId="0" applyNumberFormat="1" applyFont="1" applyFill="1" applyBorder="1" applyAlignment="1">
      <alignment horizontal="center" vertical="top"/>
    </xf>
    <xf numFmtId="0" fontId="17" fillId="10" borderId="11" xfId="0" applyFont="1" applyFill="1" applyBorder="1" applyAlignment="1">
      <alignment vertical="top"/>
    </xf>
    <xf numFmtId="0" fontId="19" fillId="10" borderId="11" xfId="0" applyFont="1" applyFill="1" applyBorder="1" applyAlignment="1">
      <alignment vertical="top"/>
    </xf>
    <xf numFmtId="0" fontId="17" fillId="3" borderId="0" xfId="0" applyFont="1" applyFill="1" applyAlignment="1">
      <alignment horizontal="center" vertical="top"/>
    </xf>
    <xf numFmtId="0" fontId="17" fillId="3" borderId="3" xfId="0" applyFont="1" applyFill="1" applyBorder="1" applyAlignment="1">
      <alignment horizontal="center" vertical="top"/>
    </xf>
    <xf numFmtId="49" fontId="19" fillId="10" borderId="3" xfId="0" applyNumberFormat="1" applyFont="1" applyFill="1" applyBorder="1" applyAlignment="1">
      <alignment horizontal="left" vertical="top"/>
    </xf>
    <xf numFmtId="2" fontId="26" fillId="10" borderId="3" xfId="0" applyNumberFormat="1" applyFont="1" applyFill="1" applyBorder="1" applyAlignment="1">
      <alignment horizontal="center" vertical="top"/>
    </xf>
    <xf numFmtId="2" fontId="19" fillId="10" borderId="3" xfId="0" applyNumberFormat="1" applyFont="1" applyFill="1" applyBorder="1" applyAlignment="1">
      <alignment vertical="top"/>
    </xf>
    <xf numFmtId="0" fontId="17" fillId="3" borderId="0" xfId="0" applyFont="1" applyFill="1" applyAlignment="1">
      <alignment horizontal="right" vertical="top"/>
    </xf>
    <xf numFmtId="49" fontId="17" fillId="0" borderId="0" xfId="0" applyNumberFormat="1" applyFont="1" applyFill="1" applyBorder="1" applyAlignment="1">
      <alignment vertical="top"/>
    </xf>
    <xf numFmtId="164" fontId="17" fillId="3" borderId="5" xfId="0" applyNumberFormat="1" applyFont="1" applyFill="1" applyBorder="1" applyAlignment="1">
      <alignment horizontal="center" vertical="top"/>
    </xf>
    <xf numFmtId="49" fontId="19" fillId="0" borderId="0" xfId="0" applyNumberFormat="1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right" vertical="top"/>
    </xf>
    <xf numFmtId="49" fontId="17" fillId="0" borderId="1" xfId="0" applyNumberFormat="1" applyFont="1" applyBorder="1" applyAlignment="1">
      <alignment vertical="top"/>
    </xf>
    <xf numFmtId="0" fontId="17" fillId="3" borderId="1" xfId="0" applyFont="1" applyFill="1" applyBorder="1" applyAlignment="1">
      <alignment vertical="top"/>
    </xf>
    <xf numFmtId="0" fontId="17" fillId="3" borderId="1" xfId="0" applyFont="1" applyFill="1" applyBorder="1" applyAlignment="1">
      <alignment horizontal="left" vertical="top"/>
    </xf>
    <xf numFmtId="0" fontId="17" fillId="3" borderId="0" xfId="0" applyNumberFormat="1" applyFont="1" applyFill="1" applyBorder="1" applyAlignment="1">
      <alignment horizontal="left" vertical="top"/>
    </xf>
    <xf numFmtId="0" fontId="2" fillId="0" borderId="0" xfId="0" applyNumberFormat="1" applyFont="1" applyBorder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17" fillId="4" borderId="0" xfId="0" applyFont="1" applyFill="1" applyBorder="1" applyAlignment="1">
      <alignment vertical="top"/>
    </xf>
    <xf numFmtId="164" fontId="17" fillId="0" borderId="0" xfId="0" applyNumberFormat="1" applyFont="1" applyAlignment="1">
      <alignment horizontal="center" vertical="top"/>
    </xf>
    <xf numFmtId="0" fontId="19" fillId="3" borderId="0" xfId="0" applyFont="1" applyFill="1" applyAlignment="1">
      <alignment horizontal="center" vertical="top"/>
    </xf>
    <xf numFmtId="166" fontId="17" fillId="3" borderId="0" xfId="0" applyNumberFormat="1" applyFont="1" applyFill="1" applyAlignment="1">
      <alignment horizontal="left" vertical="top"/>
    </xf>
    <xf numFmtId="0" fontId="17" fillId="8" borderId="0" xfId="0" applyFont="1" applyFill="1" applyAlignment="1">
      <alignment vertical="top"/>
    </xf>
    <xf numFmtId="49" fontId="17" fillId="3" borderId="14" xfId="0" applyNumberFormat="1" applyFont="1" applyFill="1" applyBorder="1" applyAlignment="1">
      <alignment horizontal="center" vertical="top"/>
    </xf>
    <xf numFmtId="21" fontId="17" fillId="8" borderId="0" xfId="0" applyNumberFormat="1" applyFont="1" applyFill="1" applyAlignment="1">
      <alignment vertical="top"/>
    </xf>
    <xf numFmtId="0" fontId="17" fillId="8" borderId="1" xfId="0" applyFont="1" applyFill="1" applyBorder="1" applyAlignment="1">
      <alignment vertical="top"/>
    </xf>
    <xf numFmtId="21" fontId="17" fillId="8" borderId="1" xfId="0" applyNumberFormat="1" applyFont="1" applyFill="1" applyBorder="1" applyAlignment="1">
      <alignment vertical="top"/>
    </xf>
    <xf numFmtId="0" fontId="17" fillId="13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right" vertical="top"/>
    </xf>
    <xf numFmtId="164" fontId="17" fillId="0" borderId="1" xfId="0" applyNumberFormat="1" applyFont="1" applyBorder="1" applyAlignment="1">
      <alignment vertical="top"/>
    </xf>
    <xf numFmtId="2" fontId="17" fillId="0" borderId="1" xfId="0" applyNumberFormat="1" applyFont="1" applyBorder="1" applyAlignment="1">
      <alignment horizontal="center" vertical="top"/>
    </xf>
    <xf numFmtId="164" fontId="17" fillId="0" borderId="1" xfId="0" applyNumberFormat="1" applyFont="1" applyBorder="1" applyAlignment="1">
      <alignment horizontal="center" vertical="top"/>
    </xf>
    <xf numFmtId="166" fontId="17" fillId="0" borderId="1" xfId="0" applyNumberFormat="1" applyFont="1" applyBorder="1" applyAlignment="1">
      <alignment vertical="top"/>
    </xf>
    <xf numFmtId="0" fontId="17" fillId="3" borderId="0" xfId="0" applyFont="1" applyFill="1" applyBorder="1" applyAlignment="1">
      <alignment horizontal="left" vertical="top"/>
    </xf>
    <xf numFmtId="0" fontId="21" fillId="0" borderId="2" xfId="0" applyFont="1" applyFill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" fillId="0" borderId="2" xfId="0" applyFont="1" applyFill="1" applyBorder="1" applyAlignment="1">
      <alignment vertical="top"/>
    </xf>
    <xf numFmtId="0" fontId="17" fillId="0" borderId="2" xfId="0" applyFont="1" applyFill="1" applyBorder="1" applyAlignment="1">
      <alignment horizontal="left" vertical="top"/>
    </xf>
    <xf numFmtId="49" fontId="17" fillId="0" borderId="2" xfId="0" applyNumberFormat="1" applyFont="1" applyFill="1" applyBorder="1" applyAlignment="1">
      <alignment vertical="top"/>
    </xf>
    <xf numFmtId="164" fontId="17" fillId="0" borderId="2" xfId="0" applyNumberFormat="1" applyFont="1" applyBorder="1" applyAlignment="1">
      <alignment vertical="top"/>
    </xf>
    <xf numFmtId="0" fontId="17" fillId="0" borderId="2" xfId="0" applyFont="1" applyBorder="1" applyAlignment="1">
      <alignment vertical="top"/>
    </xf>
    <xf numFmtId="0" fontId="17" fillId="0" borderId="2" xfId="0" applyFont="1" applyBorder="1" applyAlignment="1">
      <alignment horizontal="center" vertical="top"/>
    </xf>
    <xf numFmtId="0" fontId="17" fillId="3" borderId="12" xfId="0" applyFont="1" applyFill="1" applyBorder="1" applyAlignment="1">
      <alignment horizontal="center" vertical="top"/>
    </xf>
    <xf numFmtId="0" fontId="17" fillId="3" borderId="2" xfId="0" applyFont="1" applyFill="1" applyBorder="1" applyAlignment="1">
      <alignment horizontal="center" vertical="top"/>
    </xf>
    <xf numFmtId="164" fontId="17" fillId="0" borderId="2" xfId="0" applyNumberFormat="1" applyFont="1" applyBorder="1" applyAlignment="1">
      <alignment horizontal="center" vertical="top"/>
    </xf>
    <xf numFmtId="0" fontId="17" fillId="3" borderId="2" xfId="0" applyFont="1" applyFill="1" applyBorder="1" applyAlignment="1">
      <alignment vertical="top"/>
    </xf>
    <xf numFmtId="0" fontId="17" fillId="3" borderId="2" xfId="0" applyFont="1" applyFill="1" applyBorder="1" applyAlignment="1">
      <alignment horizontal="left" vertical="top"/>
    </xf>
    <xf numFmtId="0" fontId="34" fillId="4" borderId="13" xfId="0" applyFont="1" applyFill="1" applyBorder="1" applyAlignment="1">
      <alignment horizontal="left" vertical="top"/>
    </xf>
    <xf numFmtId="2" fontId="17" fillId="0" borderId="0" xfId="0" applyNumberFormat="1" applyFont="1" applyAlignment="1">
      <alignment vertical="top"/>
    </xf>
    <xf numFmtId="1" fontId="17" fillId="0" borderId="0" xfId="0" applyNumberFormat="1" applyFont="1" applyFill="1" applyAlignment="1">
      <alignment horizontal="center" vertical="top"/>
    </xf>
    <xf numFmtId="49" fontId="37" fillId="0" borderId="0" xfId="0" applyNumberFormat="1" applyFont="1" applyFill="1" applyBorder="1" applyAlignment="1">
      <alignment vertical="top"/>
    </xf>
    <xf numFmtId="1" fontId="38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38" fillId="0" borderId="0" xfId="0" applyFont="1" applyFill="1" applyBorder="1" applyAlignment="1">
      <alignment vertical="top"/>
    </xf>
    <xf numFmtId="0" fontId="38" fillId="0" borderId="0" xfId="0" applyFont="1" applyFill="1" applyAlignment="1">
      <alignment horizontal="left" vertical="top"/>
    </xf>
    <xf numFmtId="49" fontId="38" fillId="0" borderId="0" xfId="0" applyNumberFormat="1" applyFont="1" applyFill="1" applyAlignment="1">
      <alignment vertical="top"/>
    </xf>
    <xf numFmtId="0" fontId="38" fillId="0" borderId="0" xfId="0" applyNumberFormat="1" applyFont="1" applyBorder="1" applyAlignment="1">
      <alignment horizontal="left" vertical="top"/>
    </xf>
    <xf numFmtId="49" fontId="38" fillId="0" borderId="0" xfId="0" applyNumberFormat="1" applyFont="1" applyBorder="1" applyAlignment="1">
      <alignment vertical="top"/>
    </xf>
    <xf numFmtId="0" fontId="38" fillId="0" borderId="0" xfId="0" applyFont="1" applyBorder="1" applyAlignment="1">
      <alignment vertical="top"/>
    </xf>
    <xf numFmtId="0" fontId="38" fillId="3" borderId="0" xfId="0" applyFont="1" applyFill="1" applyAlignment="1">
      <alignment horizontal="right" vertical="top"/>
    </xf>
    <xf numFmtId="164" fontId="38" fillId="3" borderId="5" xfId="0" applyNumberFormat="1" applyFont="1" applyFill="1" applyBorder="1" applyAlignment="1">
      <alignment horizontal="center" vertical="top"/>
    </xf>
    <xf numFmtId="49" fontId="38" fillId="0" borderId="0" xfId="0" applyNumberFormat="1" applyFont="1" applyFill="1" applyBorder="1" applyAlignment="1">
      <alignment horizontal="left" vertical="top"/>
    </xf>
    <xf numFmtId="0" fontId="38" fillId="3" borderId="0" xfId="0" applyFont="1" applyFill="1" applyBorder="1" applyAlignment="1">
      <alignment horizontal="center" vertical="top"/>
    </xf>
    <xf numFmtId="0" fontId="38" fillId="3" borderId="0" xfId="0" applyFont="1" applyFill="1" applyBorder="1" applyAlignment="1">
      <alignment vertical="top"/>
    </xf>
    <xf numFmtId="49" fontId="19" fillId="0" borderId="0" xfId="0" applyNumberFormat="1" applyFont="1" applyFill="1" applyAlignment="1">
      <alignment horizontal="left" vertical="top"/>
    </xf>
    <xf numFmtId="2" fontId="17" fillId="0" borderId="0" xfId="0" applyNumberFormat="1" applyFont="1" applyFill="1" applyAlignment="1">
      <alignment vertical="top"/>
    </xf>
    <xf numFmtId="49" fontId="39" fillId="0" borderId="0" xfId="0" applyNumberFormat="1" applyFont="1" applyFill="1" applyBorder="1" applyAlignment="1">
      <alignment horizontal="center" vertical="top"/>
    </xf>
    <xf numFmtId="0" fontId="40" fillId="3" borderId="0" xfId="0" applyFont="1" applyFill="1" applyBorder="1" applyAlignment="1">
      <alignment horizontal="center" vertical="top"/>
    </xf>
    <xf numFmtId="49" fontId="40" fillId="0" borderId="0" xfId="0" applyNumberFormat="1" applyFont="1" applyFill="1" applyBorder="1" applyAlignment="1">
      <alignment vertical="top"/>
    </xf>
    <xf numFmtId="49" fontId="39" fillId="0" borderId="0" xfId="0" applyNumberFormat="1" applyFont="1" applyFill="1" applyBorder="1" applyAlignment="1">
      <alignment vertical="top"/>
    </xf>
    <xf numFmtId="164" fontId="40" fillId="3" borderId="0" xfId="0" applyNumberFormat="1" applyFont="1" applyFill="1" applyBorder="1" applyAlignment="1">
      <alignment horizontal="center" vertical="top"/>
    </xf>
    <xf numFmtId="49" fontId="39" fillId="0" borderId="0" xfId="0" applyNumberFormat="1" applyFont="1" applyFill="1" applyBorder="1" applyAlignment="1">
      <alignment horizontal="left" vertical="top"/>
    </xf>
    <xf numFmtId="0" fontId="40" fillId="3" borderId="0" xfId="0" applyFont="1" applyFill="1" applyAlignment="1">
      <alignment vertical="top"/>
    </xf>
    <xf numFmtId="49" fontId="40" fillId="0" borderId="0" xfId="0" applyNumberFormat="1" applyFont="1" applyFill="1" applyBorder="1" applyAlignment="1">
      <alignment horizontal="left" vertical="top"/>
    </xf>
    <xf numFmtId="49" fontId="39" fillId="0" borderId="0" xfId="0" applyNumberFormat="1" applyFont="1" applyFill="1" applyBorder="1" applyAlignment="1">
      <alignment horizontal="right" vertical="top"/>
    </xf>
    <xf numFmtId="166" fontId="17" fillId="0" borderId="0" xfId="0" applyNumberFormat="1" applyFont="1" applyFill="1" applyAlignment="1">
      <alignment vertical="top"/>
    </xf>
    <xf numFmtId="2" fontId="19" fillId="3" borderId="0" xfId="0" applyNumberFormat="1" applyFont="1" applyFill="1" applyBorder="1" applyAlignment="1">
      <alignment horizontal="center" vertical="top"/>
    </xf>
    <xf numFmtId="0" fontId="19" fillId="0" borderId="0" xfId="0" applyFont="1" applyFill="1" applyAlignment="1">
      <alignment horizontal="right" vertical="top"/>
    </xf>
    <xf numFmtId="0" fontId="2" fillId="3" borderId="3" xfId="0" applyFont="1" applyFill="1" applyBorder="1" applyAlignment="1">
      <alignment vertical="top"/>
    </xf>
    <xf numFmtId="0" fontId="2" fillId="3" borderId="14" xfId="0" applyFont="1" applyFill="1" applyBorder="1" applyAlignment="1">
      <alignment vertical="top"/>
    </xf>
    <xf numFmtId="0" fontId="19" fillId="3" borderId="26" xfId="0" applyFont="1" applyFill="1" applyBorder="1" applyAlignment="1">
      <alignment vertical="top"/>
    </xf>
    <xf numFmtId="0" fontId="19" fillId="3" borderId="27" xfId="0" applyFont="1" applyFill="1" applyBorder="1" applyAlignment="1">
      <alignment horizontal="center" vertical="top"/>
    </xf>
    <xf numFmtId="164" fontId="22" fillId="3" borderId="26" xfId="0" applyNumberFormat="1" applyFont="1" applyFill="1" applyBorder="1" applyAlignment="1">
      <alignment vertical="top"/>
    </xf>
    <xf numFmtId="0" fontId="17" fillId="3" borderId="20" xfId="0" applyFont="1" applyFill="1" applyBorder="1" applyAlignment="1">
      <alignment vertical="top"/>
    </xf>
    <xf numFmtId="0" fontId="19" fillId="3" borderId="21" xfId="0" applyFont="1" applyFill="1" applyBorder="1" applyAlignment="1">
      <alignment vertical="top"/>
    </xf>
    <xf numFmtId="0" fontId="19" fillId="3" borderId="20" xfId="0" applyFont="1" applyFill="1" applyBorder="1" applyAlignment="1">
      <alignment vertical="top"/>
    </xf>
    <xf numFmtId="0" fontId="17" fillId="3" borderId="27" xfId="0" applyFont="1" applyFill="1" applyBorder="1" applyAlignment="1">
      <alignment vertical="top"/>
    </xf>
    <xf numFmtId="0" fontId="17" fillId="3" borderId="26" xfId="0" applyFont="1" applyFill="1" applyBorder="1" applyAlignment="1">
      <alignment vertical="top"/>
    </xf>
    <xf numFmtId="0" fontId="17" fillId="3" borderId="21" xfId="0" applyFont="1" applyFill="1" applyBorder="1" applyAlignment="1">
      <alignment vertical="top"/>
    </xf>
    <xf numFmtId="0" fontId="19" fillId="3" borderId="0" xfId="0" applyFont="1" applyFill="1" applyBorder="1" applyAlignment="1">
      <alignment horizontal="left" vertical="top"/>
    </xf>
    <xf numFmtId="0" fontId="17" fillId="3" borderId="10" xfId="0" applyFont="1" applyFill="1" applyBorder="1" applyAlignment="1">
      <alignment vertical="top"/>
    </xf>
    <xf numFmtId="0" fontId="17" fillId="3" borderId="15" xfId="0" applyFont="1" applyFill="1" applyBorder="1" applyAlignment="1">
      <alignment vertical="top"/>
    </xf>
    <xf numFmtId="0" fontId="17" fillId="3" borderId="0" xfId="0" applyFont="1" applyFill="1" applyBorder="1" applyAlignment="1">
      <alignment horizontal="right" vertical="top"/>
    </xf>
    <xf numFmtId="1" fontId="17" fillId="3" borderId="0" xfId="0" applyNumberFormat="1" applyFont="1" applyFill="1" applyBorder="1" applyAlignment="1">
      <alignment horizontal="right" vertical="top"/>
    </xf>
    <xf numFmtId="166" fontId="1" fillId="3" borderId="7" xfId="0" applyNumberFormat="1" applyFont="1" applyFill="1" applyBorder="1" applyAlignment="1">
      <alignment horizontal="right" vertical="top"/>
    </xf>
    <xf numFmtId="0" fontId="17" fillId="3" borderId="8" xfId="0" applyFont="1" applyFill="1" applyBorder="1" applyAlignment="1">
      <alignment horizontal="center" vertical="top"/>
    </xf>
    <xf numFmtId="166" fontId="3" fillId="3" borderId="0" xfId="0" applyNumberFormat="1" applyFont="1" applyFill="1" applyBorder="1" applyAlignment="1">
      <alignment horizontal="right" vertical="top"/>
    </xf>
    <xf numFmtId="0" fontId="17" fillId="3" borderId="10" xfId="0" applyFont="1" applyFill="1" applyBorder="1" applyAlignment="1">
      <alignment horizontal="center" vertical="top"/>
    </xf>
    <xf numFmtId="0" fontId="1" fillId="3" borderId="9" xfId="0" applyNumberFormat="1" applyFont="1" applyFill="1" applyBorder="1" applyAlignment="1">
      <alignment horizontal="left" vertical="top"/>
    </xf>
    <xf numFmtId="165" fontId="19" fillId="3" borderId="0" xfId="0" applyNumberFormat="1" applyFont="1" applyFill="1" applyBorder="1" applyAlignment="1">
      <alignment vertical="top"/>
    </xf>
    <xf numFmtId="164" fontId="1" fillId="3" borderId="2" xfId="0" applyNumberFormat="1" applyFont="1" applyFill="1" applyBorder="1" applyAlignment="1">
      <alignment horizontal="right" vertical="top"/>
    </xf>
    <xf numFmtId="0" fontId="17" fillId="3" borderId="28" xfId="0" applyFont="1" applyFill="1" applyBorder="1" applyAlignment="1">
      <alignment horizontal="center" vertical="top"/>
    </xf>
    <xf numFmtId="0" fontId="1" fillId="3" borderId="29" xfId="0" applyNumberFormat="1" applyFont="1" applyFill="1" applyBorder="1" applyAlignment="1">
      <alignment horizontal="left" vertical="top"/>
    </xf>
    <xf numFmtId="0" fontId="19" fillId="3" borderId="2" xfId="0" applyFont="1" applyFill="1" applyBorder="1" applyAlignment="1">
      <alignment vertical="top"/>
    </xf>
    <xf numFmtId="0" fontId="17" fillId="3" borderId="18" xfId="0" applyFont="1" applyFill="1" applyBorder="1" applyAlignment="1">
      <alignment vertical="top"/>
    </xf>
    <xf numFmtId="0" fontId="17" fillId="3" borderId="30" xfId="0" applyFont="1" applyFill="1" applyBorder="1" applyAlignment="1">
      <alignment vertical="top"/>
    </xf>
    <xf numFmtId="0" fontId="17" fillId="3" borderId="19" xfId="0" applyFont="1" applyFill="1" applyBorder="1" applyAlignment="1">
      <alignment vertical="top"/>
    </xf>
    <xf numFmtId="0" fontId="17" fillId="3" borderId="5" xfId="0" applyFont="1" applyFill="1" applyBorder="1" applyAlignment="1">
      <alignment vertical="top"/>
    </xf>
    <xf numFmtId="0" fontId="17" fillId="3" borderId="24" xfId="0" applyFont="1" applyFill="1" applyBorder="1" applyAlignment="1">
      <alignment vertical="top"/>
    </xf>
    <xf numFmtId="49" fontId="17" fillId="3" borderId="12" xfId="0" applyNumberFormat="1" applyFont="1" applyFill="1" applyBorder="1" applyAlignment="1">
      <alignment horizontal="left" vertical="top"/>
    </xf>
    <xf numFmtId="49" fontId="17" fillId="3" borderId="0" xfId="0" applyNumberFormat="1" applyFont="1" applyFill="1" applyAlignment="1">
      <alignment vertical="top"/>
    </xf>
    <xf numFmtId="49" fontId="5" fillId="3" borderId="0" xfId="0" applyNumberFormat="1" applyFont="1" applyFill="1" applyAlignment="1">
      <alignment vertical="top"/>
    </xf>
    <xf numFmtId="164" fontId="5" fillId="3" borderId="0" xfId="0" applyNumberFormat="1" applyFont="1" applyFill="1" applyAlignment="1">
      <alignment vertical="top"/>
    </xf>
    <xf numFmtId="0" fontId="17" fillId="0" borderId="3" xfId="0" applyFont="1" applyFill="1" applyBorder="1" applyAlignment="1">
      <alignment horizontal="left" vertical="top"/>
    </xf>
    <xf numFmtId="2" fontId="8" fillId="0" borderId="0" xfId="0" applyNumberFormat="1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horizontal="center" vertical="top"/>
    </xf>
    <xf numFmtId="164" fontId="8" fillId="0" borderId="5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horizontal="left" vertical="top"/>
    </xf>
    <xf numFmtId="0" fontId="19" fillId="0" borderId="12" xfId="0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left" vertical="top"/>
    </xf>
    <xf numFmtId="49" fontId="17" fillId="0" borderId="2" xfId="0" applyNumberFormat="1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0" fontId="19" fillId="0" borderId="0" xfId="0" applyFont="1" applyFill="1" applyAlignment="1">
      <alignment vertical="top"/>
    </xf>
    <xf numFmtId="0" fontId="19" fillId="3" borderId="0" xfId="0" applyNumberFormat="1" applyFont="1" applyFill="1" applyBorder="1" applyAlignment="1">
      <alignment horizontal="center" vertical="top"/>
    </xf>
    <xf numFmtId="0" fontId="17" fillId="3" borderId="0" xfId="0" applyNumberFormat="1" applyFont="1" applyFill="1" applyBorder="1" applyAlignment="1">
      <alignment horizontal="center" vertical="top"/>
    </xf>
    <xf numFmtId="49" fontId="26" fillId="0" borderId="1" xfId="0" applyNumberFormat="1" applyFont="1" applyFill="1" applyBorder="1" applyAlignment="1">
      <alignment horizontal="center" vertical="top"/>
    </xf>
    <xf numFmtId="1" fontId="17" fillId="0" borderId="1" xfId="0" applyNumberFormat="1" applyFont="1" applyFill="1" applyBorder="1" applyAlignment="1">
      <alignment horizontal="right" vertical="top"/>
    </xf>
    <xf numFmtId="49" fontId="17" fillId="0" borderId="1" xfId="0" applyNumberFormat="1" applyFont="1" applyFill="1" applyBorder="1" applyAlignment="1">
      <alignment vertical="top"/>
    </xf>
    <xf numFmtId="164" fontId="40" fillId="0" borderId="0" xfId="0" applyNumberFormat="1" applyFont="1" applyFill="1" applyBorder="1" applyAlignment="1">
      <alignment vertical="top"/>
    </xf>
    <xf numFmtId="49" fontId="25" fillId="0" borderId="0" xfId="0" applyNumberFormat="1" applyFont="1" applyFill="1" applyBorder="1" applyAlignment="1">
      <alignment vertical="top"/>
    </xf>
    <xf numFmtId="164" fontId="37" fillId="0" borderId="0" xfId="0" applyNumberFormat="1" applyFont="1" applyFill="1" applyBorder="1" applyAlignment="1">
      <alignment vertical="top"/>
    </xf>
    <xf numFmtId="164" fontId="19" fillId="0" borderId="0" xfId="0" applyNumberFormat="1" applyFont="1" applyFill="1" applyBorder="1" applyAlignment="1">
      <alignment horizontal="left" vertical="top"/>
    </xf>
    <xf numFmtId="2" fontId="1" fillId="0" borderId="0" xfId="0" applyNumberFormat="1" applyFont="1" applyFill="1" applyBorder="1" applyAlignment="1">
      <alignment vertical="top"/>
    </xf>
    <xf numFmtId="0" fontId="2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vertical="top"/>
    </xf>
    <xf numFmtId="164" fontId="26" fillId="0" borderId="1" xfId="0" applyNumberFormat="1" applyFont="1" applyFill="1" applyBorder="1" applyAlignment="1">
      <alignment horizontal="center" vertical="top"/>
    </xf>
    <xf numFmtId="164" fontId="38" fillId="0" borderId="0" xfId="0" applyNumberFormat="1" applyFont="1" applyFill="1" applyBorder="1" applyAlignment="1">
      <alignment horizontal="center" vertical="top"/>
    </xf>
    <xf numFmtId="164" fontId="37" fillId="0" borderId="0" xfId="0" applyNumberFormat="1" applyFont="1" applyFill="1" applyBorder="1" applyAlignment="1">
      <alignment horizontal="left" vertical="top"/>
    </xf>
    <xf numFmtId="2" fontId="38" fillId="0" borderId="0" xfId="0" applyNumberFormat="1" applyFont="1" applyFill="1" applyBorder="1" applyAlignment="1">
      <alignment vertical="top"/>
    </xf>
    <xf numFmtId="1" fontId="37" fillId="0" borderId="0" xfId="0" applyNumberFormat="1" applyFont="1" applyFill="1" applyBorder="1" applyAlignment="1">
      <alignment horizontal="center" vertical="top"/>
    </xf>
    <xf numFmtId="1" fontId="37" fillId="0" borderId="1" xfId="0" applyNumberFormat="1" applyFont="1" applyFill="1" applyBorder="1" applyAlignment="1">
      <alignment horizontal="center" vertical="top"/>
    </xf>
    <xf numFmtId="164" fontId="17" fillId="0" borderId="0" xfId="0" applyNumberFormat="1" applyFont="1" applyFill="1" applyBorder="1" applyAlignment="1">
      <alignment vertical="top"/>
    </xf>
    <xf numFmtId="0" fontId="19" fillId="0" borderId="0" xfId="0" applyNumberFormat="1" applyFont="1" applyFill="1" applyBorder="1" applyAlignment="1">
      <alignment horizontal="left" vertical="top"/>
    </xf>
    <xf numFmtId="49" fontId="17" fillId="0" borderId="1" xfId="0" applyNumberFormat="1" applyFont="1" applyFill="1" applyBorder="1" applyAlignment="1">
      <alignment horizontal="left" vertical="top"/>
    </xf>
    <xf numFmtId="164" fontId="39" fillId="0" borderId="0" xfId="0" applyNumberFormat="1" applyFont="1" applyFill="1" applyBorder="1" applyAlignment="1">
      <alignment horizontal="left" vertical="top"/>
    </xf>
    <xf numFmtId="1" fontId="40" fillId="0" borderId="0" xfId="0" applyNumberFormat="1" applyFont="1" applyFill="1" applyBorder="1" applyAlignment="1">
      <alignment horizontal="right" vertical="top"/>
    </xf>
    <xf numFmtId="166" fontId="40" fillId="0" borderId="0" xfId="0" applyNumberFormat="1" applyFont="1" applyFill="1" applyBorder="1" applyAlignment="1">
      <alignment vertical="top"/>
    </xf>
    <xf numFmtId="2" fontId="19" fillId="0" borderId="0" xfId="0" applyNumberFormat="1" applyFont="1" applyFill="1" applyBorder="1" applyAlignment="1">
      <alignment vertical="top"/>
    </xf>
    <xf numFmtId="2" fontId="40" fillId="0" borderId="0" xfId="0" applyNumberFormat="1" applyFont="1" applyFill="1" applyBorder="1" applyAlignment="1">
      <alignment vertical="top"/>
    </xf>
    <xf numFmtId="49" fontId="19" fillId="0" borderId="0" xfId="0" applyNumberFormat="1" applyFont="1" applyFill="1" applyBorder="1" applyAlignment="1">
      <alignment vertical="top"/>
    </xf>
    <xf numFmtId="2" fontId="17" fillId="0" borderId="0" xfId="0" applyNumberFormat="1" applyFont="1" applyFill="1" applyBorder="1" applyAlignment="1">
      <alignment vertical="top"/>
    </xf>
    <xf numFmtId="164" fontId="25" fillId="0" borderId="0" xfId="0" applyNumberFormat="1" applyFont="1" applyFill="1" applyBorder="1" applyAlignment="1">
      <alignment vertical="top"/>
    </xf>
    <xf numFmtId="0" fontId="19" fillId="8" borderId="1" xfId="0" applyFont="1" applyFill="1" applyBorder="1" applyAlignment="1">
      <alignment horizontal="center" vertical="top"/>
    </xf>
    <xf numFmtId="49" fontId="18" fillId="0" borderId="12" xfId="0" applyNumberFormat="1" applyFont="1" applyFill="1" applyBorder="1" applyAlignment="1">
      <alignment vertical="top"/>
    </xf>
    <xf numFmtId="1" fontId="19" fillId="4" borderId="3" xfId="0" applyNumberFormat="1" applyFont="1" applyFill="1" applyBorder="1" applyAlignment="1">
      <alignment horizontal="center" vertical="top"/>
    </xf>
    <xf numFmtId="1" fontId="19" fillId="0" borderId="5" xfId="0" applyNumberFormat="1" applyFont="1" applyBorder="1" applyAlignment="1">
      <alignment horizontal="center" vertical="top"/>
    </xf>
    <xf numFmtId="1" fontId="17" fillId="0" borderId="0" xfId="0" applyNumberFormat="1" applyFont="1" applyBorder="1" applyAlignment="1">
      <alignment horizontal="center" vertical="top"/>
    </xf>
    <xf numFmtId="1" fontId="17" fillId="0" borderId="0" xfId="0" applyNumberFormat="1" applyFont="1" applyFill="1" applyAlignment="1">
      <alignment vertical="top"/>
    </xf>
    <xf numFmtId="0" fontId="17" fillId="0" borderId="0" xfId="0" applyFont="1" applyFill="1" applyAlignment="1">
      <alignment horizontal="right" vertical="top"/>
    </xf>
    <xf numFmtId="1" fontId="18" fillId="0" borderId="12" xfId="0" applyNumberFormat="1" applyFont="1" applyFill="1" applyBorder="1" applyAlignment="1">
      <alignment vertical="top"/>
    </xf>
    <xf numFmtId="164" fontId="32" fillId="14" borderId="3" xfId="0" applyNumberFormat="1" applyFont="1" applyFill="1" applyBorder="1" applyAlignment="1">
      <alignment horizontal="center" vertical="top"/>
    </xf>
    <xf numFmtId="164" fontId="20" fillId="14" borderId="3" xfId="0" applyNumberFormat="1" applyFont="1" applyFill="1" applyBorder="1" applyAlignment="1">
      <alignment horizontal="left" vertical="top"/>
    </xf>
    <xf numFmtId="1" fontId="20" fillId="14" borderId="3" xfId="0" applyNumberFormat="1" applyFont="1" applyFill="1" applyBorder="1" applyAlignment="1">
      <alignment horizontal="center" vertical="top"/>
    </xf>
    <xf numFmtId="0" fontId="20" fillId="14" borderId="3" xfId="0" applyFont="1" applyFill="1" applyBorder="1" applyAlignment="1">
      <alignment horizontal="left" vertical="top"/>
    </xf>
    <xf numFmtId="0" fontId="32" fillId="14" borderId="1" xfId="0" applyFont="1" applyFill="1" applyBorder="1" applyAlignment="1">
      <alignment horizontal="center" vertical="top"/>
    </xf>
    <xf numFmtId="0" fontId="20" fillId="14" borderId="1" xfId="0" applyFont="1" applyFill="1" applyBorder="1" applyAlignment="1">
      <alignment horizontal="left" vertical="top"/>
    </xf>
    <xf numFmtId="0" fontId="20" fillId="14" borderId="3" xfId="0" applyNumberFormat="1" applyFont="1" applyFill="1" applyBorder="1" applyAlignment="1">
      <alignment horizontal="center" vertical="top"/>
    </xf>
    <xf numFmtId="164" fontId="20" fillId="14" borderId="3" xfId="0" applyNumberFormat="1" applyFont="1" applyFill="1" applyBorder="1" applyAlignment="1">
      <alignment horizontal="center" vertical="top"/>
    </xf>
    <xf numFmtId="0" fontId="44" fillId="14" borderId="1" xfId="0" applyFont="1" applyFill="1" applyBorder="1" applyAlignment="1">
      <alignment horizontal="left" vertical="top"/>
    </xf>
    <xf numFmtId="0" fontId="44" fillId="5" borderId="3" xfId="0" applyNumberFormat="1" applyFont="1" applyFill="1" applyBorder="1" applyAlignment="1">
      <alignment horizontal="right" vertical="top"/>
    </xf>
    <xf numFmtId="0" fontId="44" fillId="7" borderId="3" xfId="0" applyNumberFormat="1" applyFont="1" applyFill="1" applyBorder="1" applyAlignment="1">
      <alignment horizontal="right" vertical="top"/>
    </xf>
    <xf numFmtId="0" fontId="44" fillId="6" borderId="3" xfId="0" applyNumberFormat="1" applyFont="1" applyFill="1" applyBorder="1" applyAlignment="1">
      <alignment horizontal="right" vertical="top"/>
    </xf>
    <xf numFmtId="0" fontId="17" fillId="0" borderId="0" xfId="0" applyNumberFormat="1" applyFont="1" applyFill="1" applyAlignment="1">
      <alignment vertical="top"/>
    </xf>
    <xf numFmtId="0" fontId="17" fillId="0" borderId="0" xfId="0" applyNumberFormat="1" applyFont="1" applyFill="1" applyBorder="1" applyAlignment="1">
      <alignment horizontal="left" vertical="top"/>
    </xf>
    <xf numFmtId="0" fontId="17" fillId="14" borderId="1" xfId="0" applyFont="1" applyFill="1" applyBorder="1" applyAlignment="1">
      <alignment vertical="top"/>
    </xf>
    <xf numFmtId="0" fontId="46" fillId="14" borderId="1" xfId="0" applyNumberFormat="1" applyFont="1" applyFill="1" applyBorder="1" applyAlignment="1">
      <alignment horizontal="right" vertical="top"/>
    </xf>
    <xf numFmtId="1" fontId="20" fillId="14" borderId="1" xfId="0" applyNumberFormat="1" applyFont="1" applyFill="1" applyBorder="1" applyAlignment="1">
      <alignment horizontal="right" vertical="top"/>
    </xf>
    <xf numFmtId="0" fontId="46" fillId="14" borderId="0" xfId="0" applyNumberFormat="1" applyFont="1" applyFill="1" applyBorder="1" applyAlignment="1">
      <alignment horizontal="right" vertical="top"/>
    </xf>
    <xf numFmtId="1" fontId="20" fillId="14" borderId="0" xfId="0" applyNumberFormat="1" applyFont="1" applyFill="1" applyBorder="1" applyAlignment="1">
      <alignment horizontal="right" vertical="top"/>
    </xf>
    <xf numFmtId="0" fontId="45" fillId="14" borderId="0" xfId="0" applyFont="1" applyFill="1" applyAlignment="1">
      <alignment vertical="top"/>
    </xf>
    <xf numFmtId="1" fontId="45" fillId="14" borderId="1" xfId="0" applyNumberFormat="1" applyFont="1" applyFill="1" applyBorder="1" applyAlignment="1">
      <alignment horizontal="center" vertical="top"/>
    </xf>
    <xf numFmtId="166" fontId="19" fillId="0" borderId="0" xfId="0" applyNumberFormat="1" applyFont="1" applyFill="1" applyBorder="1" applyAlignment="1">
      <alignment vertical="top"/>
    </xf>
    <xf numFmtId="2" fontId="17" fillId="0" borderId="2" xfId="0" applyNumberFormat="1" applyFont="1" applyBorder="1" applyAlignment="1">
      <alignment horizontal="center" vertical="top"/>
    </xf>
    <xf numFmtId="164" fontId="25" fillId="0" borderId="0" xfId="0" applyNumberFormat="1" applyFont="1" applyAlignment="1">
      <alignment horizontal="right" vertical="top"/>
    </xf>
    <xf numFmtId="164" fontId="19" fillId="0" borderId="0" xfId="0" applyNumberFormat="1" applyFont="1" applyFill="1" applyBorder="1" applyAlignment="1">
      <alignment vertical="top"/>
    </xf>
    <xf numFmtId="1" fontId="17" fillId="0" borderId="0" xfId="0" applyNumberFormat="1" applyFont="1" applyFill="1" applyBorder="1" applyAlignment="1">
      <alignment horizontal="center" vertical="top"/>
    </xf>
    <xf numFmtId="166" fontId="17" fillId="0" borderId="0" xfId="0" applyNumberFormat="1" applyFont="1" applyFill="1" applyBorder="1" applyAlignment="1">
      <alignment horizontal="center" vertical="top"/>
    </xf>
    <xf numFmtId="2" fontId="17" fillId="0" borderId="0" xfId="0" applyNumberFormat="1" applyFont="1" applyFill="1" applyBorder="1" applyAlignment="1">
      <alignment horizontal="right" vertical="top"/>
    </xf>
    <xf numFmtId="164" fontId="47" fillId="0" borderId="0" xfId="0" applyNumberFormat="1" applyFont="1" applyFill="1" applyBorder="1" applyAlignment="1">
      <alignment vertical="top"/>
    </xf>
    <xf numFmtId="49" fontId="47" fillId="0" borderId="0" xfId="0" applyNumberFormat="1" applyFont="1" applyAlignment="1">
      <alignment horizontal="left" vertical="top"/>
    </xf>
    <xf numFmtId="49" fontId="23" fillId="0" borderId="0" xfId="0" applyNumberFormat="1" applyFont="1" applyFill="1" applyBorder="1" applyAlignment="1">
      <alignment vertical="top"/>
    </xf>
    <xf numFmtId="49" fontId="23" fillId="0" borderId="0" xfId="0" applyNumberFormat="1" applyFont="1" applyBorder="1" applyAlignment="1">
      <alignment vertical="top"/>
    </xf>
    <xf numFmtId="49" fontId="1" fillId="0" borderId="0" xfId="0" applyNumberFormat="1" applyFont="1" applyBorder="1" applyAlignment="1">
      <alignment vertical="top"/>
    </xf>
    <xf numFmtId="1" fontId="19" fillId="0" borderId="7" xfId="0" applyNumberFormat="1" applyFont="1" applyBorder="1" applyAlignment="1">
      <alignment horizontal="center" vertical="top"/>
    </xf>
    <xf numFmtId="1" fontId="19" fillId="0" borderId="0" xfId="0" applyNumberFormat="1" applyFont="1" applyBorder="1" applyAlignment="1">
      <alignment horizontal="center" vertical="top"/>
    </xf>
    <xf numFmtId="164" fontId="48" fillId="0" borderId="0" xfId="0" applyNumberFormat="1" applyFont="1" applyFill="1" applyBorder="1" applyAlignment="1">
      <alignment horizontal="left" vertical="top"/>
    </xf>
    <xf numFmtId="2" fontId="49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vertical="top"/>
    </xf>
    <xf numFmtId="1" fontId="49" fillId="0" borderId="0" xfId="0" applyNumberFormat="1" applyFont="1" applyFill="1" applyBorder="1" applyAlignment="1">
      <alignment horizontal="center" vertical="top"/>
    </xf>
    <xf numFmtId="164" fontId="48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horizontal="left" vertical="top"/>
    </xf>
    <xf numFmtId="164" fontId="49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horizontal="center" vertical="top"/>
    </xf>
    <xf numFmtId="0" fontId="49" fillId="3" borderId="0" xfId="0" applyFont="1" applyFill="1" applyBorder="1" applyAlignment="1">
      <alignment horizontal="center" vertical="top"/>
    </xf>
    <xf numFmtId="49" fontId="49" fillId="0" borderId="0" xfId="0" applyNumberFormat="1" applyFont="1" applyFill="1" applyBorder="1" applyAlignment="1">
      <alignment vertical="top"/>
    </xf>
    <xf numFmtId="49" fontId="49" fillId="0" borderId="0" xfId="0" applyNumberFormat="1" applyFont="1" applyFill="1" applyBorder="1" applyAlignment="1">
      <alignment horizontal="left" vertical="top"/>
    </xf>
    <xf numFmtId="1" fontId="49" fillId="0" borderId="0" xfId="0" applyNumberFormat="1" applyFont="1" applyFill="1" applyBorder="1" applyAlignment="1">
      <alignment horizontal="right" vertical="top"/>
    </xf>
    <xf numFmtId="166" fontId="49" fillId="0" borderId="0" xfId="0" applyNumberFormat="1" applyFont="1" applyFill="1" applyBorder="1" applyAlignment="1">
      <alignment vertical="top"/>
    </xf>
    <xf numFmtId="164" fontId="49" fillId="3" borderId="0" xfId="0" applyNumberFormat="1" applyFont="1" applyFill="1" applyBorder="1" applyAlignment="1">
      <alignment horizontal="center" vertical="top"/>
    </xf>
    <xf numFmtId="0" fontId="49" fillId="3" borderId="0" xfId="0" applyFont="1" applyFill="1" applyAlignment="1">
      <alignment vertical="top"/>
    </xf>
    <xf numFmtId="49" fontId="48" fillId="0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19" fillId="0" borderId="0" xfId="0" applyFont="1" applyFill="1" applyAlignment="1">
      <alignment horizontal="left" vertical="top"/>
    </xf>
    <xf numFmtId="49" fontId="19" fillId="0" borderId="0" xfId="0" applyNumberFormat="1" applyFont="1" applyFill="1" applyAlignment="1">
      <alignment vertical="top"/>
    </xf>
    <xf numFmtId="0" fontId="50" fillId="0" borderId="0" xfId="0" applyNumberFormat="1" applyFont="1" applyBorder="1" applyAlignment="1">
      <alignment horizontal="left" vertical="top"/>
    </xf>
    <xf numFmtId="49" fontId="19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19" fillId="3" borderId="0" xfId="0" applyFont="1" applyFill="1" applyAlignment="1">
      <alignment horizontal="right" vertical="top"/>
    </xf>
    <xf numFmtId="0" fontId="19" fillId="3" borderId="0" xfId="0" applyFont="1" applyFill="1" applyBorder="1" applyAlignment="1">
      <alignment horizontal="center" vertical="top"/>
    </xf>
    <xf numFmtId="1" fontId="19" fillId="0" borderId="0" xfId="0" applyNumberFormat="1" applyFont="1" applyFill="1" applyBorder="1" applyAlignment="1">
      <alignment horizontal="right" vertical="top"/>
    </xf>
    <xf numFmtId="164" fontId="19" fillId="3" borderId="5" xfId="0" applyNumberFormat="1" applyFont="1" applyFill="1" applyBorder="1" applyAlignment="1">
      <alignment horizontal="center" vertical="top"/>
    </xf>
    <xf numFmtId="164" fontId="19" fillId="0" borderId="0" xfId="0" applyNumberFormat="1" applyFont="1" applyFill="1" applyAlignment="1">
      <alignment vertical="top"/>
    </xf>
    <xf numFmtId="164" fontId="19" fillId="3" borderId="0" xfId="0" applyNumberFormat="1" applyFont="1" applyFill="1" applyBorder="1" applyAlignment="1">
      <alignment horizontal="left" vertical="top"/>
    </xf>
    <xf numFmtId="164" fontId="19" fillId="0" borderId="0" xfId="0" applyNumberFormat="1" applyFont="1" applyFill="1" applyAlignment="1">
      <alignment horizontal="center" vertical="top"/>
    </xf>
    <xf numFmtId="166" fontId="19" fillId="0" borderId="0" xfId="0" applyNumberFormat="1" applyFont="1" applyFill="1" applyAlignment="1">
      <alignment vertical="top"/>
    </xf>
    <xf numFmtId="0" fontId="19" fillId="3" borderId="0" xfId="0" applyFont="1" applyFill="1" applyAlignment="1">
      <alignment vertical="top"/>
    </xf>
    <xf numFmtId="2" fontId="19" fillId="0" borderId="0" xfId="0" applyNumberFormat="1" applyFont="1" applyFill="1" applyAlignment="1">
      <alignment vertical="top"/>
    </xf>
    <xf numFmtId="0" fontId="19" fillId="3" borderId="0" xfId="0" applyFont="1" applyFill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vertical="top"/>
    </xf>
    <xf numFmtId="0" fontId="19" fillId="0" borderId="1" xfId="0" applyFont="1" applyFill="1" applyBorder="1" applyAlignment="1">
      <alignment horizontal="right" vertical="top"/>
    </xf>
    <xf numFmtId="49" fontId="50" fillId="0" borderId="1" xfId="0" applyNumberFormat="1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vertical="top"/>
    </xf>
    <xf numFmtId="0" fontId="19" fillId="3" borderId="1" xfId="0" applyFont="1" applyFill="1" applyBorder="1" applyAlignment="1">
      <alignment horizontal="center" vertical="top"/>
    </xf>
    <xf numFmtId="49" fontId="19" fillId="0" borderId="1" xfId="0" applyNumberFormat="1" applyFont="1" applyBorder="1" applyAlignment="1">
      <alignment vertical="top"/>
    </xf>
    <xf numFmtId="49" fontId="19" fillId="0" borderId="1" xfId="0" applyNumberFormat="1" applyFont="1" applyFill="1" applyBorder="1" applyAlignment="1">
      <alignment horizontal="left" vertical="top"/>
    </xf>
    <xf numFmtId="49" fontId="50" fillId="0" borderId="1" xfId="0" applyNumberFormat="1" applyFont="1" applyFill="1" applyBorder="1" applyAlignment="1">
      <alignment horizontal="left" vertical="top"/>
    </xf>
    <xf numFmtId="0" fontId="19" fillId="3" borderId="1" xfId="0" applyFont="1" applyFill="1" applyBorder="1" applyAlignment="1">
      <alignment horizontal="left" vertical="top"/>
    </xf>
    <xf numFmtId="1" fontId="17" fillId="0" borderId="2" xfId="0" applyNumberFormat="1" applyFont="1" applyBorder="1" applyAlignment="1">
      <alignment horizontal="center" vertical="top"/>
    </xf>
    <xf numFmtId="0" fontId="0" fillId="0" borderId="0" xfId="0" applyFill="1" applyAlignment="1">
      <alignment horizontal="center"/>
    </xf>
    <xf numFmtId="0" fontId="27" fillId="4" borderId="0" xfId="1" applyFont="1" applyFill="1" applyAlignment="1" applyProtection="1">
      <alignment horizontal="center"/>
    </xf>
    <xf numFmtId="0" fontId="16" fillId="4" borderId="0" xfId="1" applyFill="1" applyAlignment="1" applyProtection="1">
      <alignment horizontal="center"/>
    </xf>
    <xf numFmtId="0" fontId="15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164" fontId="15" fillId="4" borderId="0" xfId="0" applyNumberFormat="1" applyFont="1" applyFill="1" applyAlignment="1">
      <alignment horizontal="center"/>
    </xf>
    <xf numFmtId="0" fontId="15" fillId="0" borderId="1" xfId="0" applyFont="1" applyBorder="1" applyAlignment="1">
      <alignment horizontal="center"/>
    </xf>
    <xf numFmtId="2" fontId="17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2" fontId="17" fillId="0" borderId="0" xfId="0" applyNumberFormat="1" applyFont="1" applyFill="1" applyAlignment="1">
      <alignment horizontal="center"/>
    </xf>
    <xf numFmtId="167" fontId="19" fillId="0" borderId="0" xfId="0" applyNumberFormat="1" applyFont="1" applyFill="1" applyBorder="1" applyAlignment="1">
      <alignment horizontal="left" vertical="top"/>
    </xf>
    <xf numFmtId="49" fontId="19" fillId="3" borderId="20" xfId="0" applyNumberFormat="1" applyFont="1" applyFill="1" applyBorder="1" applyAlignment="1">
      <alignment vertical="top"/>
    </xf>
    <xf numFmtId="0" fontId="18" fillId="10" borderId="26" xfId="0" applyFont="1" applyFill="1" applyBorder="1" applyAlignment="1">
      <alignment horizontal="center" vertical="top"/>
    </xf>
    <xf numFmtId="0" fontId="55" fillId="10" borderId="27" xfId="0" applyFont="1" applyFill="1" applyBorder="1" applyAlignment="1">
      <alignment horizontal="center" vertical="top"/>
    </xf>
    <xf numFmtId="0" fontId="18" fillId="10" borderId="20" xfId="0" applyFont="1" applyFill="1" applyBorder="1" applyAlignment="1">
      <alignment horizontal="center" vertical="top"/>
    </xf>
    <xf numFmtId="0" fontId="55" fillId="10" borderId="20" xfId="0" applyFont="1" applyFill="1" applyBorder="1" applyAlignment="1">
      <alignment horizontal="center" vertical="top"/>
    </xf>
    <xf numFmtId="49" fontId="19" fillId="3" borderId="9" xfId="0" applyNumberFormat="1" applyFont="1" applyFill="1" applyBorder="1" applyAlignment="1">
      <alignment vertical="top"/>
    </xf>
    <xf numFmtId="0" fontId="17" fillId="8" borderId="0" xfId="0" applyFont="1" applyFill="1" applyBorder="1" applyAlignment="1">
      <alignment horizontal="right" vertical="top"/>
    </xf>
    <xf numFmtId="164" fontId="17" fillId="8" borderId="0" xfId="0" applyNumberFormat="1" applyFont="1" applyFill="1" applyBorder="1" applyAlignment="1">
      <alignment vertical="top"/>
    </xf>
    <xf numFmtId="0" fontId="17" fillId="8" borderId="1" xfId="0" applyFont="1" applyFill="1" applyBorder="1" applyAlignment="1">
      <alignment horizontal="right" vertical="top"/>
    </xf>
    <xf numFmtId="165" fontId="17" fillId="8" borderId="1" xfId="0" applyNumberFormat="1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7" fillId="0" borderId="3" xfId="0" applyFont="1" applyBorder="1" applyAlignment="1">
      <alignment vertical="top"/>
    </xf>
    <xf numFmtId="0" fontId="56" fillId="0" borderId="2" xfId="0" applyFont="1" applyBorder="1" applyAlignment="1">
      <alignment vertical="top"/>
    </xf>
    <xf numFmtId="164" fontId="20" fillId="14" borderId="3" xfId="0" applyNumberFormat="1" applyFont="1" applyFill="1" applyBorder="1" applyAlignment="1">
      <alignment horizontal="right" vertical="top"/>
    </xf>
    <xf numFmtId="0" fontId="19" fillId="10" borderId="20" xfId="0" applyFont="1" applyFill="1" applyBorder="1" applyAlignment="1">
      <alignment horizontal="center" vertical="top"/>
    </xf>
    <xf numFmtId="0" fontId="27" fillId="10" borderId="0" xfId="1" applyFont="1" applyFill="1" applyAlignment="1" applyProtection="1">
      <alignment horizontal="center" vertical="top"/>
    </xf>
    <xf numFmtId="0" fontId="27" fillId="10" borderId="0" xfId="1" applyNumberFormat="1" applyFont="1" applyFill="1" applyBorder="1" applyAlignment="1" applyProtection="1">
      <alignment horizontal="center" vertical="top"/>
    </xf>
    <xf numFmtId="0" fontId="19" fillId="10" borderId="7" xfId="0" applyFont="1" applyFill="1" applyBorder="1" applyAlignment="1">
      <alignment horizontal="left" vertical="top"/>
    </xf>
    <xf numFmtId="0" fontId="27" fillId="10" borderId="1" xfId="1" applyNumberFormat="1" applyFont="1" applyFill="1" applyBorder="1" applyAlignment="1" applyProtection="1">
      <alignment horizontal="center" vertical="top"/>
    </xf>
    <xf numFmtId="0" fontId="19" fillId="10" borderId="0" xfId="0" applyFont="1" applyFill="1" applyAlignment="1">
      <alignment horizontal="center" vertical="top"/>
    </xf>
    <xf numFmtId="0" fontId="37" fillId="10" borderId="0" xfId="0" applyFont="1" applyFill="1" applyAlignment="1">
      <alignment horizontal="center" vertical="top"/>
    </xf>
    <xf numFmtId="0" fontId="21" fillId="10" borderId="2" xfId="0" applyFont="1" applyFill="1" applyBorder="1" applyAlignment="1">
      <alignment vertical="top"/>
    </xf>
    <xf numFmtId="0" fontId="17" fillId="10" borderId="25" xfId="0" applyFont="1" applyFill="1" applyBorder="1" applyAlignment="1">
      <alignment vertical="top"/>
    </xf>
    <xf numFmtId="0" fontId="1" fillId="10" borderId="2" xfId="0" applyFont="1" applyFill="1" applyBorder="1" applyAlignment="1">
      <alignment vertical="top"/>
    </xf>
    <xf numFmtId="0" fontId="17" fillId="10" borderId="2" xfId="0" applyFont="1" applyFill="1" applyBorder="1" applyAlignment="1">
      <alignment horizontal="left" vertical="top"/>
    </xf>
    <xf numFmtId="49" fontId="17" fillId="10" borderId="2" xfId="0" applyNumberFormat="1" applyFont="1" applyFill="1" applyBorder="1" applyAlignment="1">
      <alignment vertical="top"/>
    </xf>
    <xf numFmtId="0" fontId="21" fillId="10" borderId="2" xfId="0" applyNumberFormat="1" applyFont="1" applyFill="1" applyBorder="1" applyAlignment="1">
      <alignment horizontal="left" vertical="top"/>
    </xf>
    <xf numFmtId="0" fontId="17" fillId="10" borderId="2" xfId="0" applyFont="1" applyFill="1" applyBorder="1" applyAlignment="1">
      <alignment vertical="top"/>
    </xf>
    <xf numFmtId="0" fontId="17" fillId="10" borderId="2" xfId="0" applyFont="1" applyFill="1" applyBorder="1" applyAlignment="1">
      <alignment horizontal="center" vertical="top"/>
    </xf>
    <xf numFmtId="0" fontId="17" fillId="10" borderId="12" xfId="0" applyFont="1" applyFill="1" applyBorder="1" applyAlignment="1">
      <alignment horizontal="center" vertical="top"/>
    </xf>
    <xf numFmtId="49" fontId="17" fillId="10" borderId="25" xfId="0" applyNumberFormat="1" applyFont="1" applyFill="1" applyBorder="1" applyAlignment="1">
      <alignment horizontal="left" vertical="top"/>
    </xf>
    <xf numFmtId="164" fontId="17" fillId="10" borderId="25" xfId="0" applyNumberFormat="1" applyFont="1" applyFill="1" applyBorder="1" applyAlignment="1">
      <alignment vertical="top"/>
    </xf>
    <xf numFmtId="49" fontId="17" fillId="10" borderId="25" xfId="0" applyNumberFormat="1" applyFont="1" applyFill="1" applyBorder="1" applyAlignment="1">
      <alignment vertical="top"/>
    </xf>
    <xf numFmtId="0" fontId="17" fillId="10" borderId="25" xfId="0" applyFont="1" applyFill="1" applyBorder="1" applyAlignment="1">
      <alignment horizontal="center" vertical="top"/>
    </xf>
    <xf numFmtId="164" fontId="17" fillId="10" borderId="25" xfId="0" applyNumberFormat="1" applyFont="1" applyFill="1" applyBorder="1" applyAlignment="1">
      <alignment horizontal="center" vertical="top"/>
    </xf>
    <xf numFmtId="0" fontId="17" fillId="10" borderId="25" xfId="0" applyFont="1" applyFill="1" applyBorder="1" applyAlignment="1">
      <alignment horizontal="left" vertical="top"/>
    </xf>
    <xf numFmtId="1" fontId="19" fillId="10" borderId="0" xfId="0" applyNumberFormat="1" applyFont="1" applyFill="1" applyBorder="1" applyAlignment="1">
      <alignment horizontal="center" vertical="top"/>
    </xf>
    <xf numFmtId="1" fontId="26" fillId="10" borderId="0" xfId="0" applyNumberFormat="1" applyFont="1" applyFill="1" applyBorder="1" applyAlignment="1">
      <alignment horizontal="center" vertical="top"/>
    </xf>
    <xf numFmtId="0" fontId="27" fillId="10" borderId="4" xfId="1" applyNumberFormat="1" applyFont="1" applyFill="1" applyBorder="1" applyAlignment="1" applyProtection="1">
      <alignment horizontal="center" vertical="top"/>
    </xf>
    <xf numFmtId="0" fontId="28" fillId="10" borderId="1" xfId="1" applyNumberFormat="1" applyFont="1" applyFill="1" applyBorder="1" applyAlignment="1" applyProtection="1">
      <alignment horizontal="center" vertical="top"/>
    </xf>
    <xf numFmtId="2" fontId="19" fillId="10" borderId="0" xfId="0" applyNumberFormat="1" applyFont="1" applyFill="1" applyAlignment="1">
      <alignment horizontal="center" vertical="top"/>
    </xf>
    <xf numFmtId="1" fontId="19" fillId="10" borderId="13" xfId="0" applyNumberFormat="1" applyFont="1" applyFill="1" applyBorder="1" applyAlignment="1">
      <alignment horizontal="center" vertical="top"/>
    </xf>
    <xf numFmtId="0" fontId="17" fillId="10" borderId="5" xfId="0" applyNumberFormat="1" applyFont="1" applyFill="1" applyBorder="1" applyAlignment="1">
      <alignment horizontal="center" vertical="top"/>
    </xf>
    <xf numFmtId="2" fontId="19" fillId="10" borderId="4" xfId="0" applyNumberFormat="1" applyFont="1" applyFill="1" applyBorder="1" applyAlignment="1">
      <alignment horizontal="center" vertical="top"/>
    </xf>
    <xf numFmtId="0" fontId="17" fillId="9" borderId="0" xfId="0" applyFont="1" applyFill="1" applyAlignment="1">
      <alignment vertical="top"/>
    </xf>
    <xf numFmtId="0" fontId="13" fillId="11" borderId="0" xfId="1" applyFont="1" applyFill="1" applyAlignment="1" applyProtection="1">
      <alignment horizontal="center" vertical="top"/>
    </xf>
    <xf numFmtId="0" fontId="41" fillId="11" borderId="0" xfId="1" applyFont="1" applyFill="1" applyAlignment="1" applyProtection="1">
      <alignment horizontal="center" vertical="top"/>
    </xf>
    <xf numFmtId="0" fontId="13" fillId="11" borderId="1" xfId="1" applyFont="1" applyFill="1" applyBorder="1" applyAlignment="1" applyProtection="1">
      <alignment horizontal="left" vertical="top"/>
    </xf>
    <xf numFmtId="0" fontId="13" fillId="11" borderId="2" xfId="1" applyFont="1" applyFill="1" applyBorder="1" applyAlignment="1" applyProtection="1">
      <alignment horizontal="center" vertical="top"/>
    </xf>
    <xf numFmtId="0" fontId="13" fillId="11" borderId="0" xfId="1" applyFont="1" applyFill="1" applyAlignment="1" applyProtection="1">
      <alignment horizontal="left" vertical="top"/>
    </xf>
    <xf numFmtId="0" fontId="19" fillId="10" borderId="0" xfId="0" applyNumberFormat="1" applyFont="1" applyFill="1" applyBorder="1" applyAlignment="1">
      <alignment horizontal="center" vertical="top"/>
    </xf>
    <xf numFmtId="0" fontId="13" fillId="11" borderId="0" xfId="1" applyFont="1" applyFill="1" applyAlignment="1" applyProtection="1">
      <alignment horizontal="right" vertical="top"/>
    </xf>
    <xf numFmtId="0" fontId="13" fillId="11" borderId="0" xfId="1" applyFont="1" applyFill="1" applyBorder="1" applyAlignment="1" applyProtection="1">
      <alignment horizontal="right" vertical="top"/>
    </xf>
    <xf numFmtId="0" fontId="2" fillId="10" borderId="0" xfId="0" applyFont="1" applyFill="1" applyBorder="1" applyAlignment="1">
      <alignment horizontal="center" vertical="top"/>
    </xf>
    <xf numFmtId="0" fontId="17" fillId="10" borderId="0" xfId="0" applyFont="1" applyFill="1" applyBorder="1" applyAlignment="1">
      <alignment vertical="top"/>
    </xf>
    <xf numFmtId="0" fontId="17" fillId="10" borderId="0" xfId="0" applyFont="1" applyFill="1" applyAlignment="1">
      <alignment vertical="top"/>
    </xf>
    <xf numFmtId="0" fontId="27" fillId="10" borderId="7" xfId="1" applyNumberFormat="1" applyFont="1" applyFill="1" applyBorder="1" applyAlignment="1" applyProtection="1">
      <alignment horizontal="center" vertical="top"/>
    </xf>
    <xf numFmtId="0" fontId="13" fillId="11" borderId="0" xfId="1" applyFont="1" applyFill="1" applyBorder="1" applyAlignment="1" applyProtection="1">
      <alignment horizontal="center" vertical="top"/>
    </xf>
    <xf numFmtId="0" fontId="27" fillId="11" borderId="0" xfId="1" applyFont="1" applyFill="1" applyAlignment="1" applyProtection="1">
      <alignment horizontal="left" vertical="top"/>
    </xf>
    <xf numFmtId="0" fontId="1" fillId="0" borderId="3" xfId="0" applyNumberFormat="1" applyFont="1" applyBorder="1" applyAlignment="1">
      <alignment horizontal="center" vertical="top"/>
    </xf>
    <xf numFmtId="0" fontId="13" fillId="12" borderId="0" xfId="1" applyFont="1" applyFill="1" applyAlignment="1" applyProtection="1">
      <alignment horizontal="center" vertical="top"/>
    </xf>
    <xf numFmtId="49" fontId="19" fillId="0" borderId="9" xfId="0" applyNumberFormat="1" applyFont="1" applyFill="1" applyBorder="1" applyAlignment="1">
      <alignment vertical="top"/>
    </xf>
    <xf numFmtId="0" fontId="19" fillId="0" borderId="0" xfId="0" applyFont="1" applyFill="1" applyBorder="1" applyAlignment="1">
      <alignment horizontal="center" vertical="top"/>
    </xf>
    <xf numFmtId="2" fontId="18" fillId="0" borderId="9" xfId="0" applyNumberFormat="1" applyFont="1" applyFill="1" applyBorder="1" applyAlignment="1">
      <alignment vertical="top"/>
    </xf>
    <xf numFmtId="2" fontId="55" fillId="0" borderId="10" xfId="0" applyNumberFormat="1" applyFont="1" applyFill="1" applyBorder="1" applyAlignment="1">
      <alignment vertical="top"/>
    </xf>
    <xf numFmtId="2" fontId="18" fillId="0" borderId="0" xfId="0" applyNumberFormat="1" applyFont="1" applyFill="1" applyBorder="1" applyAlignment="1">
      <alignment vertical="top"/>
    </xf>
    <xf numFmtId="2" fontId="55" fillId="0" borderId="0" xfId="0" applyNumberFormat="1" applyFont="1" applyFill="1" applyBorder="1" applyAlignment="1">
      <alignment vertical="top"/>
    </xf>
    <xf numFmtId="164" fontId="19" fillId="0" borderId="9" xfId="0" applyNumberFormat="1" applyFont="1" applyFill="1" applyBorder="1" applyAlignment="1">
      <alignment vertical="top"/>
    </xf>
    <xf numFmtId="164" fontId="19" fillId="0" borderId="10" xfId="0" applyNumberFormat="1" applyFont="1" applyFill="1" applyBorder="1" applyAlignment="1">
      <alignment vertical="top"/>
    </xf>
    <xf numFmtId="165" fontId="2" fillId="0" borderId="9" xfId="0" applyNumberFormat="1" applyFont="1" applyFill="1" applyBorder="1" applyAlignment="1">
      <alignment vertical="top"/>
    </xf>
    <xf numFmtId="165" fontId="2" fillId="0" borderId="10" xfId="0" applyNumberFormat="1" applyFont="1" applyFill="1" applyBorder="1" applyAlignment="1">
      <alignment vertical="top"/>
    </xf>
    <xf numFmtId="0" fontId="18" fillId="0" borderId="31" xfId="0" applyFont="1" applyFill="1" applyBorder="1" applyAlignment="1">
      <alignment vertical="top"/>
    </xf>
    <xf numFmtId="0" fontId="55" fillId="0" borderId="32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55" fillId="0" borderId="1" xfId="0" applyFont="1" applyFill="1" applyBorder="1" applyAlignment="1">
      <alignment vertical="top"/>
    </xf>
    <xf numFmtId="165" fontId="19" fillId="0" borderId="31" xfId="0" applyNumberFormat="1" applyFont="1" applyFill="1" applyBorder="1" applyAlignment="1">
      <alignment vertical="top"/>
    </xf>
    <xf numFmtId="165" fontId="19" fillId="0" borderId="32" xfId="0" applyNumberFormat="1" applyFont="1" applyFill="1" applyBorder="1" applyAlignment="1">
      <alignment vertical="top"/>
    </xf>
    <xf numFmtId="0" fontId="2" fillId="0" borderId="31" xfId="0" applyFont="1" applyFill="1" applyBorder="1" applyAlignment="1">
      <alignment vertical="top"/>
    </xf>
    <xf numFmtId="0" fontId="2" fillId="0" borderId="32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8" fillId="0" borderId="0" xfId="0" applyFont="1" applyFill="1" applyAlignment="1">
      <alignment horizontal="right" vertical="top"/>
    </xf>
    <xf numFmtId="0" fontId="59" fillId="0" borderId="0" xfId="0" applyFont="1" applyFill="1" applyAlignment="1">
      <alignment horizontal="right" vertical="top"/>
    </xf>
    <xf numFmtId="0" fontId="56" fillId="0" borderId="0" xfId="0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165" fontId="59" fillId="0" borderId="0" xfId="0" applyNumberFormat="1" applyFont="1" applyFill="1" applyBorder="1" applyAlignment="1">
      <alignment horizontal="right" vertical="top"/>
    </xf>
    <xf numFmtId="0" fontId="58" fillId="0" borderId="0" xfId="0" applyFont="1" applyFill="1" applyBorder="1" applyAlignment="1">
      <alignment vertical="top"/>
    </xf>
    <xf numFmtId="49" fontId="47" fillId="0" borderId="0" xfId="0" applyNumberFormat="1" applyFont="1" applyFill="1" applyAlignment="1">
      <alignment horizontal="left" vertical="top"/>
    </xf>
    <xf numFmtId="0" fontId="47" fillId="0" borderId="0" xfId="0" applyNumberFormat="1" applyFont="1" applyFill="1" applyAlignment="1">
      <alignment horizontal="left" vertical="top"/>
    </xf>
    <xf numFmtId="164" fontId="32" fillId="4" borderId="3" xfId="0" applyNumberFormat="1" applyFont="1" applyFill="1" applyBorder="1" applyAlignment="1">
      <alignment horizontal="center" vertical="top"/>
    </xf>
    <xf numFmtId="0" fontId="20" fillId="0" borderId="0" xfId="0" applyNumberFormat="1" applyFont="1" applyFill="1" applyBorder="1" applyAlignment="1">
      <alignment horizontal="right" vertical="top"/>
    </xf>
    <xf numFmtId="0" fontId="2" fillId="15" borderId="3" xfId="0" applyNumberFormat="1" applyFont="1" applyFill="1" applyBorder="1" applyAlignment="1">
      <alignment horizontal="right" vertical="top"/>
    </xf>
    <xf numFmtId="0" fontId="19" fillId="15" borderId="3" xfId="0" applyNumberFormat="1" applyFont="1" applyFill="1" applyBorder="1" applyAlignment="1">
      <alignment horizontal="right" vertical="top"/>
    </xf>
    <xf numFmtId="49" fontId="17" fillId="0" borderId="0" xfId="0" applyNumberFormat="1" applyFont="1" applyFill="1" applyBorder="1" applyAlignment="1">
      <alignment horizontal="left" vertical="top"/>
    </xf>
    <xf numFmtId="0" fontId="19" fillId="0" borderId="0" xfId="0" applyNumberFormat="1" applyFont="1" applyFill="1" applyBorder="1" applyAlignment="1">
      <alignment horizontal="right" vertical="top"/>
    </xf>
    <xf numFmtId="0" fontId="18" fillId="0" borderId="1" xfId="0" applyNumberFormat="1" applyFont="1" applyBorder="1" applyAlignment="1">
      <alignment horizontal="left" vertical="top"/>
    </xf>
    <xf numFmtId="0" fontId="18" fillId="0" borderId="1" xfId="0" applyNumberFormat="1" applyFont="1" applyBorder="1" applyAlignment="1">
      <alignment vertical="top"/>
    </xf>
    <xf numFmtId="0" fontId="23" fillId="0" borderId="0" xfId="0" applyNumberFormat="1" applyFont="1" applyBorder="1" applyAlignment="1">
      <alignment vertical="top"/>
    </xf>
    <xf numFmtId="1" fontId="18" fillId="0" borderId="7" xfId="0" applyNumberFormat="1" applyFont="1" applyBorder="1" applyAlignment="1">
      <alignment horizontal="center" vertical="top"/>
    </xf>
    <xf numFmtId="2" fontId="17" fillId="0" borderId="0" xfId="0" applyNumberFormat="1" applyFont="1" applyBorder="1" applyAlignment="1">
      <alignment horizontal="left" vertical="top"/>
    </xf>
    <xf numFmtId="0" fontId="1" fillId="3" borderId="0" xfId="0" applyFont="1" applyFill="1" applyBorder="1" applyAlignment="1">
      <alignment vertical="top"/>
    </xf>
    <xf numFmtId="49" fontId="28" fillId="12" borderId="0" xfId="1" applyNumberFormat="1" applyFont="1" applyFill="1" applyAlignment="1" applyProtection="1">
      <alignment vertical="top"/>
    </xf>
    <xf numFmtId="164" fontId="17" fillId="12" borderId="0" xfId="0" applyNumberFormat="1" applyFont="1" applyFill="1" applyAlignment="1">
      <alignment vertical="top"/>
    </xf>
    <xf numFmtId="0" fontId="61" fillId="12" borderId="0" xfId="0" applyFont="1" applyFill="1" applyBorder="1" applyAlignment="1">
      <alignment horizontal="center" vertical="top"/>
    </xf>
    <xf numFmtId="2" fontId="62" fillId="7" borderId="33" xfId="0" applyNumberFormat="1" applyFont="1" applyFill="1" applyBorder="1" applyAlignment="1">
      <alignment horizontal="center" vertical="top"/>
    </xf>
    <xf numFmtId="0" fontId="63" fillId="12" borderId="0" xfId="0" applyFont="1" applyFill="1" applyBorder="1" applyAlignment="1">
      <alignment horizontal="center" vertical="top"/>
    </xf>
    <xf numFmtId="0" fontId="64" fillId="12" borderId="0" xfId="0" applyFont="1" applyFill="1" applyBorder="1" applyAlignment="1">
      <alignment horizontal="center" vertical="top"/>
    </xf>
    <xf numFmtId="2" fontId="62" fillId="5" borderId="33" xfId="0" applyNumberFormat="1" applyFont="1" applyFill="1" applyBorder="1" applyAlignment="1">
      <alignment horizontal="center" vertical="top"/>
    </xf>
    <xf numFmtId="2" fontId="2" fillId="15" borderId="3" xfId="0" applyNumberFormat="1" applyFont="1" applyFill="1" applyBorder="1" applyAlignment="1">
      <alignment horizontal="center" vertical="top"/>
    </xf>
    <xf numFmtId="0" fontId="28" fillId="11" borderId="0" xfId="1" applyFont="1" applyFill="1" applyAlignment="1" applyProtection="1">
      <alignment horizontal="left" vertical="top"/>
    </xf>
    <xf numFmtId="0" fontId="28" fillId="11" borderId="0" xfId="1" applyFont="1" applyFill="1" applyAlignment="1" applyProtection="1">
      <alignment horizontal="center" vertical="top"/>
    </xf>
    <xf numFmtId="0" fontId="45" fillId="5" borderId="3" xfId="0" applyNumberFormat="1" applyFont="1" applyFill="1" applyBorder="1" applyAlignment="1">
      <alignment horizontal="right" vertical="top"/>
    </xf>
    <xf numFmtId="2" fontId="15" fillId="4" borderId="0" xfId="0" applyNumberFormat="1" applyFont="1" applyFill="1" applyAlignment="1">
      <alignment horizontal="center"/>
    </xf>
    <xf numFmtId="0" fontId="13" fillId="4" borderId="0" xfId="1" applyFont="1" applyFill="1" applyAlignment="1" applyProtection="1">
      <alignment horizontal="center" vertical="top"/>
    </xf>
    <xf numFmtId="0" fontId="0" fillId="4" borderId="0" xfId="0" applyFill="1" applyAlignment="1">
      <alignment horizontal="center"/>
    </xf>
    <xf numFmtId="0" fontId="0" fillId="4" borderId="0" xfId="0" applyFill="1"/>
    <xf numFmtId="0" fontId="19" fillId="4" borderId="0" xfId="0" applyFont="1" applyFill="1" applyAlignment="1">
      <alignment horizontal="center" vertical="top"/>
    </xf>
    <xf numFmtId="2" fontId="23" fillId="0" borderId="0" xfId="0" applyNumberFormat="1" applyFont="1" applyFill="1" applyBorder="1" applyAlignment="1">
      <alignment vertical="top"/>
    </xf>
    <xf numFmtId="164" fontId="17" fillId="3" borderId="0" xfId="0" applyNumberFormat="1" applyFont="1" applyFill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right" vertical="top"/>
    </xf>
    <xf numFmtId="1" fontId="18" fillId="0" borderId="0" xfId="0" applyNumberFormat="1" applyFont="1" applyBorder="1" applyAlignment="1">
      <alignment horizontal="center" vertical="top"/>
    </xf>
  </cellXfs>
  <cellStyles count="3">
    <cellStyle name="Hyperlink" xfId="1" builtinId="8"/>
    <cellStyle name="Normal 2" xfId="2"/>
    <cellStyle name="Standard" xfId="0" builtinId="0"/>
  </cellStyles>
  <dxfs count="49"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2856BA"/>
      <color rgb="FF66FF33"/>
      <color rgb="FFFF0000"/>
      <color rgb="FFCCFFFF"/>
      <color rgb="FFCCECFF"/>
      <color rgb="FF00FFFF"/>
      <color rgb="FF009900"/>
      <color rgb="FF008000"/>
      <color rgb="FF66FFFF"/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Summary!$B$2</c:f>
              <c:strCache>
                <c:ptCount val="1"/>
                <c:pt idx="0">
                  <c:v>32 D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Summary!$G$10:$J$10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Summary!$G$3:$J$3</c:f>
              <c:numCache>
                <c:formatCode>0.0</c:formatCode>
                <c:ptCount val="4"/>
                <c:pt idx="0">
                  <c:v>25.510132109090907</c:v>
                </c:pt>
                <c:pt idx="1">
                  <c:v>8.0499643458092685</c:v>
                </c:pt>
                <c:pt idx="2">
                  <c:v>62.223429978626235</c:v>
                </c:pt>
                <c:pt idx="3">
                  <c:v>1.9267895791583167</c:v>
                </c:pt>
              </c:numCache>
            </c:numRef>
          </c:val>
        </c:ser>
        <c:ser>
          <c:idx val="1"/>
          <c:order val="1"/>
          <c:tx>
            <c:strRef>
              <c:f>Summary!$B$10</c:f>
              <c:strCache>
                <c:ptCount val="1"/>
                <c:pt idx="0">
                  <c:v>439 Cells</c:v>
                </c:pt>
              </c:strCache>
            </c:strRef>
          </c:tx>
          <c:spPr>
            <a:solidFill>
              <a:schemeClr val="bg1"/>
            </a:solidFill>
            <a:ln w="31750">
              <a:solidFill>
                <a:srgbClr val="66FF33"/>
              </a:solidFill>
            </a:ln>
          </c:spPr>
          <c:dPt>
            <c:idx val="1"/>
            <c:spPr>
              <a:solidFill>
                <a:schemeClr val="bg1"/>
              </a:solidFill>
              <a:ln w="31750">
                <a:solidFill>
                  <a:srgbClr val="FF0000"/>
                </a:solidFill>
              </a:ln>
            </c:spPr>
          </c:dPt>
          <c:dPt>
            <c:idx val="2"/>
            <c:spPr>
              <a:solidFill>
                <a:schemeClr val="bg1"/>
              </a:solidFill>
              <a:ln w="31750">
                <a:solidFill>
                  <a:srgbClr val="2856BA"/>
                </a:solidFill>
              </a:ln>
            </c:spPr>
          </c:dPt>
          <c:dPt>
            <c:idx val="3"/>
            <c:spPr>
              <a:solidFill>
                <a:schemeClr val="bg1"/>
              </a:solidFill>
              <a:ln w="31750">
                <a:solidFill>
                  <a:schemeClr val="tx1"/>
                </a:solidFill>
              </a:ln>
            </c:spPr>
          </c:dPt>
          <c:cat>
            <c:strRef>
              <c:f>Summary!$G$10:$J$10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Summary!$G$11:$J$11</c:f>
              <c:numCache>
                <c:formatCode>0.0</c:formatCode>
                <c:ptCount val="4"/>
                <c:pt idx="0">
                  <c:v>28.219432691428572</c:v>
                </c:pt>
                <c:pt idx="1">
                  <c:v>8.2858217651682988</c:v>
                </c:pt>
                <c:pt idx="2">
                  <c:v>77.125044383287758</c:v>
                </c:pt>
                <c:pt idx="3">
                  <c:v>1.4372609318529412</c:v>
                </c:pt>
              </c:numCache>
            </c:numRef>
          </c:val>
        </c:ser>
        <c:gapWidth val="50"/>
        <c:axId val="257947904"/>
        <c:axId val="262754688"/>
      </c:barChart>
      <c:catAx>
        <c:axId val="257947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54688"/>
        <c:crossesAt val="0"/>
        <c:lblAlgn val="ctr"/>
        <c:lblOffset val="100"/>
        <c:tickLblSkip val="1"/>
        <c:tickMarkSkip val="1"/>
      </c:catAx>
      <c:valAx>
        <c:axId val="262754688"/>
        <c:scaling>
          <c:orientation val="minMax"/>
          <c:max val="100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85E-2"/>
              <c:y val="0.136789142382069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47904"/>
        <c:crosses val="autoZero"/>
        <c:crossBetween val="between"/>
        <c:majorUnit val="10"/>
        <c:minorUnit val="2.5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946752"/>
        <c:axId val="491948672"/>
      </c:barChart>
      <c:catAx>
        <c:axId val="491946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48672"/>
        <c:crossesAt val="0"/>
        <c:lblAlgn val="ctr"/>
        <c:lblOffset val="100"/>
        <c:tickLblSkip val="1"/>
        <c:tickMarkSkip val="1"/>
      </c:catAx>
      <c:valAx>
        <c:axId val="491948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467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'#2-32D'!$BS$34:$BV$34</c:f>
              <c:numCache>
                <c:formatCode>0.00</c:formatCode>
                <c:ptCount val="4"/>
                <c:pt idx="0">
                  <c:v>0.41187007573553508</c:v>
                </c:pt>
                <c:pt idx="1">
                  <c:v>0.12999967190259845</c:v>
                </c:pt>
                <c:pt idx="2">
                  <c:v>1</c:v>
                </c:pt>
                <c:pt idx="3">
                  <c:v>2.2942925408784592E-2</c:v>
                </c:pt>
              </c:numCache>
            </c:numRef>
          </c:val>
        </c:ser>
        <c:gapWidth val="50"/>
        <c:axId val="357960704"/>
        <c:axId val="357962496"/>
      </c:barChart>
      <c:scatterChart>
        <c:scatterStyle val="lineMarker"/>
        <c:ser>
          <c:idx val="1"/>
          <c:order val="1"/>
          <c:tx>
            <c:strRef>
              <c:f>'#2-32D'!$BP$3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'#2-32D'!$BS$3:$BV$3</c:f>
              <c:numCache>
                <c:formatCode>0.00</c:formatCode>
                <c:ptCount val="4"/>
                <c:pt idx="0">
                  <c:v>0.38262811191849105</c:v>
                </c:pt>
                <c:pt idx="1">
                  <c:v>0.12030639092240131</c:v>
                </c:pt>
                <c:pt idx="2">
                  <c:v>1</c:v>
                </c:pt>
                <c:pt idx="3">
                  <c:v>2.6689718929136158E-2</c:v>
                </c:pt>
              </c:numCache>
            </c:numRef>
          </c:yVal>
        </c:ser>
        <c:ser>
          <c:idx val="2"/>
          <c:order val="2"/>
          <c:tx>
            <c:strRef>
              <c:f>'#2-32D'!$BP$4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'#2-32D'!$BS$4:$BV$4</c:f>
              <c:numCache>
                <c:formatCode>0.00</c:formatCode>
                <c:ptCount val="4"/>
                <c:pt idx="0">
                  <c:v>0.4411120395525791</c:v>
                </c:pt>
                <c:pt idx="1">
                  <c:v>0.1396929528827956</c:v>
                </c:pt>
                <c:pt idx="2">
                  <c:v>1</c:v>
                </c:pt>
                <c:pt idx="3">
                  <c:v>1.919613188843303E-2</c:v>
                </c:pt>
              </c:numCache>
            </c:numRef>
          </c:yVal>
        </c:ser>
        <c:ser>
          <c:idx val="3"/>
          <c:order val="3"/>
          <c:tx>
            <c:strRef>
              <c:f>'#2-32D'!$BP$5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57960704"/>
        <c:axId val="357962496"/>
      </c:scatterChart>
      <c:catAx>
        <c:axId val="357960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7962496"/>
        <c:crossesAt val="0"/>
        <c:lblAlgn val="ctr"/>
        <c:lblOffset val="100"/>
        <c:tickLblSkip val="1"/>
        <c:tickMarkSkip val="1"/>
      </c:catAx>
      <c:valAx>
        <c:axId val="357962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7960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'#2-32D'!$BZ$34:$CC$34</c:f>
              <c:numCache>
                <c:formatCode>0.00</c:formatCode>
                <c:ptCount val="4"/>
                <c:pt idx="0">
                  <c:v>0.58812992426446487</c:v>
                </c:pt>
                <c:pt idx="1">
                  <c:v>0.68444759417560785</c:v>
                </c:pt>
                <c:pt idx="2">
                  <c:v>0.87000032809740158</c:v>
                </c:pt>
                <c:pt idx="3">
                  <c:v>0.97705707459121538</c:v>
                </c:pt>
              </c:numCache>
            </c:numRef>
          </c:val>
        </c:ser>
        <c:gapWidth val="50"/>
        <c:axId val="358337152"/>
        <c:axId val="358343040"/>
      </c:barChart>
      <c:scatterChart>
        <c:scatterStyle val="lineMarker"/>
        <c:ser>
          <c:idx val="1"/>
          <c:order val="1"/>
          <c:tx>
            <c:strRef>
              <c:f>'#2-32D'!$BW$3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'#2-32D'!$BZ$3:$CC$3</c:f>
              <c:numCache>
                <c:formatCode>0.00</c:formatCode>
                <c:ptCount val="4"/>
                <c:pt idx="0">
                  <c:v>0.61737188808150889</c:v>
                </c:pt>
                <c:pt idx="1">
                  <c:v>0.68557879785887388</c:v>
                </c:pt>
                <c:pt idx="2">
                  <c:v>0.87969360907759864</c:v>
                </c:pt>
                <c:pt idx="3">
                  <c:v>0.97331028107086381</c:v>
                </c:pt>
              </c:numCache>
            </c:numRef>
          </c:yVal>
        </c:ser>
        <c:ser>
          <c:idx val="2"/>
          <c:order val="2"/>
          <c:tx>
            <c:strRef>
              <c:f>'#2-32D'!$BW$4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'#2-32D'!$BZ$4:$CC$4</c:f>
              <c:numCache>
                <c:formatCode>0.00</c:formatCode>
                <c:ptCount val="4"/>
                <c:pt idx="0">
                  <c:v>0.55888796044742084</c:v>
                </c:pt>
                <c:pt idx="1">
                  <c:v>0.68331639049234194</c:v>
                </c:pt>
                <c:pt idx="2">
                  <c:v>0.8603070471172044</c:v>
                </c:pt>
                <c:pt idx="3">
                  <c:v>0.98080386811156695</c:v>
                </c:pt>
              </c:numCache>
            </c:numRef>
          </c:yVal>
        </c:ser>
        <c:ser>
          <c:idx val="3"/>
          <c:order val="3"/>
          <c:tx>
            <c:strRef>
              <c:f>'#2-32D'!$BW$5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58337152"/>
        <c:axId val="358343040"/>
      </c:scatterChart>
      <c:catAx>
        <c:axId val="358337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8343040"/>
        <c:crossesAt val="0"/>
        <c:lblAlgn val="ctr"/>
        <c:lblOffset val="100"/>
        <c:tickLblSkip val="1"/>
        <c:tickMarkSkip val="1"/>
      </c:catAx>
      <c:valAx>
        <c:axId val="358343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4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8337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'#2-32D'!$CG$34:$CJ$34</c:f>
              <c:numCache>
                <c:formatCode>0.0</c:formatCode>
                <c:ptCount val="4"/>
                <c:pt idx="0">
                  <c:v>24.067446095522058</c:v>
                </c:pt>
                <c:pt idx="1">
                  <c:v>6.6072783322404183</c:v>
                </c:pt>
                <c:pt idx="2">
                  <c:v>60.780743965057383</c:v>
                </c:pt>
                <c:pt idx="3">
                  <c:v>0</c:v>
                </c:pt>
              </c:numCache>
            </c:numRef>
          </c:val>
        </c:ser>
        <c:gapWidth val="50"/>
        <c:axId val="358785408"/>
        <c:axId val="358786944"/>
      </c:barChart>
      <c:scatterChart>
        <c:scatterStyle val="lineMarker"/>
        <c:ser>
          <c:idx val="1"/>
          <c:order val="1"/>
          <c:tx>
            <c:strRef>
              <c:f>'#2-32D'!$CK$3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'#2-32D'!$CG$3:$CJ$3</c:f>
              <c:numCache>
                <c:formatCode>0.0</c:formatCode>
                <c:ptCount val="4"/>
                <c:pt idx="0">
                  <c:v>23.582037083965282</c:v>
                </c:pt>
                <c:pt idx="1">
                  <c:v>6.202398713107125</c:v>
                </c:pt>
                <c:pt idx="2">
                  <c:v>64.484864781373076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'#2-32D'!$CK$4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'#2-32D'!$CG$4:$CJ$4</c:f>
              <c:numCache>
                <c:formatCode>0.0</c:formatCode>
                <c:ptCount val="4"/>
                <c:pt idx="0">
                  <c:v>24.552855107078834</c:v>
                </c:pt>
                <c:pt idx="1">
                  <c:v>7.0121579513737116</c:v>
                </c:pt>
                <c:pt idx="2">
                  <c:v>57.076623148741689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'#2-32D'!$CK$5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58785408"/>
        <c:axId val="358786944"/>
      </c:scatterChart>
      <c:catAx>
        <c:axId val="358785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8786944"/>
        <c:crossesAt val="0"/>
        <c:lblAlgn val="ctr"/>
        <c:lblOffset val="100"/>
        <c:tickLblSkip val="1"/>
        <c:tickMarkSkip val="1"/>
      </c:catAx>
      <c:valAx>
        <c:axId val="358786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878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'#2-32D'!$CN$34:$CQ$34</c:f>
              <c:numCache>
                <c:formatCode>0.00</c:formatCode>
                <c:ptCount val="4"/>
                <c:pt idx="0">
                  <c:v>0.39793618365157035</c:v>
                </c:pt>
                <c:pt idx="1">
                  <c:v>0.10951947763315545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362712448"/>
        <c:axId val="362857600"/>
      </c:barChart>
      <c:scatterChart>
        <c:scatterStyle val="lineMarker"/>
        <c:ser>
          <c:idx val="1"/>
          <c:order val="1"/>
          <c:tx>
            <c:strRef>
              <c:f>'#2-32D'!$CR$3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'#2-32D'!$CN$3:$CQ$3</c:f>
              <c:numCache>
                <c:formatCode>0.00</c:formatCode>
                <c:ptCount val="4"/>
                <c:pt idx="0">
                  <c:v>0.36569879093205643</c:v>
                </c:pt>
                <c:pt idx="1">
                  <c:v>9.6183790322511981E-2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'#2-32D'!$CR$4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'#2-32D'!$CN$4:$CQ$4</c:f>
              <c:numCache>
                <c:formatCode>0.00</c:formatCode>
                <c:ptCount val="4"/>
                <c:pt idx="0">
                  <c:v>0.43017357637108433</c:v>
                </c:pt>
                <c:pt idx="1">
                  <c:v>0.12285516494379892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'#2-32D'!$CR$5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62712448"/>
        <c:axId val="362857600"/>
      </c:scatterChart>
      <c:catAx>
        <c:axId val="362712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2857600"/>
        <c:crossesAt val="0"/>
        <c:lblAlgn val="ctr"/>
        <c:lblOffset val="100"/>
        <c:tickLblSkip val="1"/>
        <c:tickMarkSkip val="1"/>
      </c:catAx>
      <c:valAx>
        <c:axId val="362857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06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2712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'#2-32D'!$CU$1:$CX$1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'#2-32D'!$CU$34:$CX$34</c:f>
              <c:numCache>
                <c:formatCode>0.00</c:formatCode>
                <c:ptCount val="4"/>
                <c:pt idx="0">
                  <c:v>0.60206381634842965</c:v>
                </c:pt>
                <c:pt idx="1">
                  <c:v>0.72569595182853541</c:v>
                </c:pt>
                <c:pt idx="2">
                  <c:v>0.89048052236684461</c:v>
                </c:pt>
                <c:pt idx="3">
                  <c:v>1</c:v>
                </c:pt>
              </c:numCache>
            </c:numRef>
          </c:val>
        </c:ser>
        <c:gapWidth val="50"/>
        <c:axId val="367179648"/>
        <c:axId val="367181184"/>
      </c:barChart>
      <c:scatterChart>
        <c:scatterStyle val="lineMarker"/>
        <c:ser>
          <c:idx val="1"/>
          <c:order val="1"/>
          <c:tx>
            <c:strRef>
              <c:f>'#2-32D'!$CY$3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'#2-32D'!$CU$3:$CX$3</c:f>
              <c:numCache>
                <c:formatCode>0.00</c:formatCode>
                <c:ptCount val="4"/>
                <c:pt idx="0">
                  <c:v>0.63430120906794363</c:v>
                </c:pt>
                <c:pt idx="1">
                  <c:v>0.7369863048292602</c:v>
                </c:pt>
                <c:pt idx="2">
                  <c:v>0.90381620967748799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'#2-32D'!$CY$4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'#2-32D'!$CU$4:$CX$4</c:f>
              <c:numCache>
                <c:formatCode>0.00</c:formatCode>
                <c:ptCount val="4"/>
                <c:pt idx="0">
                  <c:v>0.56982642362891567</c:v>
                </c:pt>
                <c:pt idx="1">
                  <c:v>0.71440559882781063</c:v>
                </c:pt>
                <c:pt idx="2">
                  <c:v>0.87714483505620111</c:v>
                </c:pt>
                <c:pt idx="3">
                  <c:v>1</c:v>
                </c:pt>
              </c:numCache>
            </c:numRef>
          </c:yVal>
        </c:ser>
        <c:ser>
          <c:idx val="3"/>
          <c:order val="3"/>
          <c:tx>
            <c:strRef>
              <c:f>'#2-32D'!$CY$5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67179648"/>
        <c:axId val="367181184"/>
      </c:scatterChart>
      <c:catAx>
        <c:axId val="367179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181184"/>
        <c:crossesAt val="0"/>
        <c:lblAlgn val="ctr"/>
        <c:lblOffset val="100"/>
        <c:tickLblSkip val="1"/>
        <c:tickMarkSkip val="1"/>
      </c:catAx>
      <c:valAx>
        <c:axId val="367181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21052638244693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179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67321472"/>
        <c:axId val="367323008"/>
      </c:barChart>
      <c:catAx>
        <c:axId val="367321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323008"/>
        <c:crossesAt val="0"/>
        <c:lblAlgn val="ctr"/>
        <c:lblOffset val="100"/>
        <c:tickLblSkip val="1"/>
        <c:tickMarkSkip val="1"/>
      </c:catAx>
      <c:valAx>
        <c:axId val="3673230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321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67393408"/>
        <c:axId val="367423872"/>
      </c:barChart>
      <c:catAx>
        <c:axId val="367393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423872"/>
        <c:crossesAt val="0"/>
        <c:lblAlgn val="ctr"/>
        <c:lblOffset val="100"/>
        <c:tickLblSkip val="1"/>
        <c:tickMarkSkip val="1"/>
      </c:catAx>
      <c:valAx>
        <c:axId val="367423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393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67449216"/>
        <c:axId val="367450752"/>
      </c:barChart>
      <c:catAx>
        <c:axId val="367449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450752"/>
        <c:crossesAt val="0"/>
        <c:lblAlgn val="ctr"/>
        <c:lblOffset val="100"/>
        <c:tickLblSkip val="1"/>
        <c:tickMarkSkip val="1"/>
      </c:catAx>
      <c:valAx>
        <c:axId val="367450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449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67598592"/>
        <c:axId val="367747840"/>
      </c:barChart>
      <c:catAx>
        <c:axId val="367598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747840"/>
        <c:crossesAt val="0"/>
        <c:lblAlgn val="ctr"/>
        <c:lblOffset val="100"/>
        <c:tickLblSkip val="1"/>
        <c:tickMarkSkip val="1"/>
      </c:catAx>
      <c:valAx>
        <c:axId val="367747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5985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67785472"/>
        <c:axId val="367787008"/>
      </c:barChart>
      <c:catAx>
        <c:axId val="367785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787008"/>
        <c:crossesAt val="0"/>
        <c:lblAlgn val="ctr"/>
        <c:lblOffset val="100"/>
        <c:tickLblSkip val="1"/>
        <c:tickMarkSkip val="1"/>
      </c:catAx>
      <c:valAx>
        <c:axId val="3677870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67785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401024"/>
        <c:axId val="492402560"/>
      </c:barChart>
      <c:catAx>
        <c:axId val="492401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402560"/>
        <c:crossesAt val="0"/>
        <c:lblAlgn val="ctr"/>
        <c:lblOffset val="100"/>
        <c:tickLblSkip val="1"/>
        <c:tickMarkSkip val="1"/>
      </c:catAx>
      <c:valAx>
        <c:axId val="492402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401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064320"/>
        <c:axId val="385074304"/>
      </c:barChart>
      <c:catAx>
        <c:axId val="385064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074304"/>
        <c:crossesAt val="0"/>
        <c:lblAlgn val="ctr"/>
        <c:lblOffset val="100"/>
        <c:tickLblSkip val="1"/>
        <c:tickMarkSkip val="1"/>
      </c:catAx>
      <c:valAx>
        <c:axId val="385074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064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181568"/>
        <c:axId val="385183104"/>
      </c:barChart>
      <c:catAx>
        <c:axId val="385181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183104"/>
        <c:crossesAt val="0"/>
        <c:lblAlgn val="ctr"/>
        <c:lblOffset val="100"/>
        <c:tickLblSkip val="1"/>
        <c:tickMarkSkip val="1"/>
      </c:catAx>
      <c:valAx>
        <c:axId val="385183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181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274240"/>
        <c:axId val="385275776"/>
      </c:barChart>
      <c:catAx>
        <c:axId val="385274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275776"/>
        <c:crossesAt val="0"/>
        <c:lblAlgn val="ctr"/>
        <c:lblOffset val="100"/>
        <c:tickLblSkip val="1"/>
        <c:tickMarkSkip val="1"/>
      </c:catAx>
      <c:valAx>
        <c:axId val="3852757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274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362176"/>
        <c:axId val="385376256"/>
      </c:barChart>
      <c:catAx>
        <c:axId val="385362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376256"/>
        <c:crossesAt val="0"/>
        <c:lblAlgn val="ctr"/>
        <c:lblOffset val="100"/>
        <c:tickLblSkip val="1"/>
        <c:tickMarkSkip val="1"/>
      </c:catAx>
      <c:valAx>
        <c:axId val="385376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362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405696"/>
        <c:axId val="385407232"/>
      </c:barChart>
      <c:catAx>
        <c:axId val="385405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407232"/>
        <c:crossesAt val="0"/>
        <c:lblAlgn val="ctr"/>
        <c:lblOffset val="100"/>
        <c:tickLblSkip val="1"/>
        <c:tickMarkSkip val="1"/>
      </c:catAx>
      <c:valAx>
        <c:axId val="385407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405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494016"/>
        <c:axId val="385524480"/>
      </c:barChart>
      <c:catAx>
        <c:axId val="385494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524480"/>
        <c:crossesAt val="0"/>
        <c:lblAlgn val="ctr"/>
        <c:lblOffset val="100"/>
        <c:tickLblSkip val="1"/>
        <c:tickMarkSkip val="1"/>
      </c:catAx>
      <c:valAx>
        <c:axId val="385524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494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607168"/>
        <c:axId val="385608704"/>
      </c:barChart>
      <c:catAx>
        <c:axId val="385607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608704"/>
        <c:crossesAt val="0"/>
        <c:lblAlgn val="ctr"/>
        <c:lblOffset val="100"/>
        <c:tickLblSkip val="1"/>
        <c:tickMarkSkip val="1"/>
      </c:catAx>
      <c:valAx>
        <c:axId val="385608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607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771008"/>
        <c:axId val="385772544"/>
      </c:barChart>
      <c:catAx>
        <c:axId val="385771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772544"/>
        <c:crossesAt val="0"/>
        <c:lblAlgn val="ctr"/>
        <c:lblOffset val="100"/>
        <c:tickLblSkip val="1"/>
        <c:tickMarkSkip val="1"/>
      </c:catAx>
      <c:valAx>
        <c:axId val="385772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771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85851392"/>
        <c:axId val="385852928"/>
      </c:barChart>
      <c:catAx>
        <c:axId val="385851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852928"/>
        <c:crossesAt val="0"/>
        <c:lblAlgn val="ctr"/>
        <c:lblOffset val="100"/>
        <c:tickLblSkip val="1"/>
        <c:tickMarkSkip val="1"/>
      </c:catAx>
      <c:valAx>
        <c:axId val="385852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85851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6667136"/>
        <c:axId val="396681216"/>
      </c:barChart>
      <c:catAx>
        <c:axId val="3966671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681216"/>
        <c:crossesAt val="0"/>
        <c:lblAlgn val="ctr"/>
        <c:lblOffset val="100"/>
        <c:tickLblSkip val="1"/>
        <c:tickMarkSkip val="1"/>
      </c:catAx>
      <c:valAx>
        <c:axId val="396681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6671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668800"/>
        <c:axId val="492670336"/>
      </c:barChart>
      <c:catAx>
        <c:axId val="492668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670336"/>
        <c:crossesAt val="0"/>
        <c:lblAlgn val="ctr"/>
        <c:lblOffset val="100"/>
        <c:tickLblSkip val="1"/>
        <c:tickMarkSkip val="1"/>
      </c:catAx>
      <c:valAx>
        <c:axId val="492670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7069049588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668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6837632"/>
        <c:axId val="396839168"/>
      </c:barChart>
      <c:catAx>
        <c:axId val="396837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839168"/>
        <c:crossesAt val="0"/>
        <c:lblAlgn val="ctr"/>
        <c:lblOffset val="100"/>
        <c:tickLblSkip val="1"/>
        <c:tickMarkSkip val="1"/>
      </c:catAx>
      <c:valAx>
        <c:axId val="396839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837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6872704"/>
        <c:axId val="396878592"/>
      </c:barChart>
      <c:catAx>
        <c:axId val="396872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878592"/>
        <c:crossesAt val="0"/>
        <c:lblAlgn val="ctr"/>
        <c:lblOffset val="100"/>
        <c:tickLblSkip val="1"/>
        <c:tickMarkSkip val="1"/>
      </c:catAx>
      <c:valAx>
        <c:axId val="396878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872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6899456"/>
        <c:axId val="396900992"/>
      </c:barChart>
      <c:catAx>
        <c:axId val="396899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900992"/>
        <c:crossesAt val="0"/>
        <c:lblAlgn val="ctr"/>
        <c:lblOffset val="100"/>
        <c:tickLblSkip val="1"/>
        <c:tickMarkSkip val="1"/>
      </c:catAx>
      <c:valAx>
        <c:axId val="396900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899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6963200"/>
        <c:axId val="396964992"/>
      </c:barChart>
      <c:catAx>
        <c:axId val="39696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964992"/>
        <c:crossesAt val="0"/>
        <c:lblAlgn val="ctr"/>
        <c:lblOffset val="100"/>
        <c:tickLblSkip val="1"/>
        <c:tickMarkSkip val="1"/>
      </c:catAx>
      <c:valAx>
        <c:axId val="396964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696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006720"/>
        <c:axId val="397008256"/>
      </c:barChart>
      <c:catAx>
        <c:axId val="397006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008256"/>
        <c:crossesAt val="0"/>
        <c:lblAlgn val="ctr"/>
        <c:lblOffset val="100"/>
        <c:tickLblSkip val="1"/>
        <c:tickMarkSkip val="1"/>
      </c:catAx>
      <c:valAx>
        <c:axId val="397008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00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222272"/>
        <c:axId val="397223808"/>
      </c:barChart>
      <c:catAx>
        <c:axId val="397222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23808"/>
        <c:crossesAt val="0"/>
        <c:lblAlgn val="ctr"/>
        <c:lblOffset val="100"/>
        <c:tickLblSkip val="1"/>
        <c:tickMarkSkip val="1"/>
      </c:catAx>
      <c:valAx>
        <c:axId val="397223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22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261440"/>
        <c:axId val="397279616"/>
      </c:barChart>
      <c:catAx>
        <c:axId val="397261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79616"/>
        <c:crossesAt val="0"/>
        <c:lblAlgn val="ctr"/>
        <c:lblOffset val="100"/>
        <c:tickLblSkip val="1"/>
        <c:tickMarkSkip val="1"/>
      </c:catAx>
      <c:valAx>
        <c:axId val="397279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61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296768"/>
        <c:axId val="397298304"/>
      </c:barChart>
      <c:catAx>
        <c:axId val="397296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98304"/>
        <c:crossesAt val="0"/>
        <c:lblAlgn val="ctr"/>
        <c:lblOffset val="100"/>
        <c:tickLblSkip val="1"/>
        <c:tickMarkSkip val="1"/>
      </c:catAx>
      <c:valAx>
        <c:axId val="397298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296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474816"/>
        <c:axId val="397476608"/>
      </c:barChart>
      <c:catAx>
        <c:axId val="397474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476608"/>
        <c:crossesAt val="0"/>
        <c:lblAlgn val="ctr"/>
        <c:lblOffset val="100"/>
        <c:tickLblSkip val="1"/>
        <c:tickMarkSkip val="1"/>
      </c:catAx>
      <c:valAx>
        <c:axId val="397476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474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97526528"/>
        <c:axId val="397528064"/>
      </c:barChart>
      <c:catAx>
        <c:axId val="397526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528064"/>
        <c:crossesAt val="0"/>
        <c:lblAlgn val="ctr"/>
        <c:lblOffset val="100"/>
        <c:tickLblSkip val="1"/>
        <c:tickMarkSkip val="1"/>
      </c:catAx>
      <c:valAx>
        <c:axId val="397528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97526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3018496"/>
        <c:axId val="493185664"/>
      </c:barChart>
      <c:catAx>
        <c:axId val="493018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185664"/>
        <c:crossesAt val="0"/>
        <c:lblAlgn val="ctr"/>
        <c:lblOffset val="100"/>
        <c:tickLblSkip val="1"/>
        <c:tickMarkSkip val="1"/>
      </c:catAx>
      <c:valAx>
        <c:axId val="493185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018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8572672"/>
        <c:axId val="428574208"/>
      </c:barChart>
      <c:catAx>
        <c:axId val="428572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574208"/>
        <c:crossesAt val="0"/>
        <c:lblAlgn val="ctr"/>
        <c:lblOffset val="100"/>
        <c:tickLblSkip val="1"/>
        <c:tickMarkSkip val="1"/>
      </c:catAx>
      <c:valAx>
        <c:axId val="428574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572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8681472"/>
        <c:axId val="428720128"/>
      </c:barChart>
      <c:catAx>
        <c:axId val="428681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720128"/>
        <c:crossesAt val="0"/>
        <c:lblAlgn val="ctr"/>
        <c:lblOffset val="100"/>
        <c:tickLblSkip val="1"/>
        <c:tickMarkSkip val="1"/>
      </c:catAx>
      <c:valAx>
        <c:axId val="4287201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681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8868352"/>
        <c:axId val="428869888"/>
      </c:barChart>
      <c:catAx>
        <c:axId val="428868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869888"/>
        <c:crossesAt val="0"/>
        <c:lblAlgn val="ctr"/>
        <c:lblOffset val="100"/>
        <c:tickLblSkip val="1"/>
        <c:tickMarkSkip val="1"/>
      </c:catAx>
      <c:valAx>
        <c:axId val="428869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868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8907520"/>
        <c:axId val="429089536"/>
      </c:barChart>
      <c:catAx>
        <c:axId val="428907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089536"/>
        <c:crossesAt val="0"/>
        <c:lblAlgn val="ctr"/>
        <c:lblOffset val="100"/>
        <c:tickLblSkip val="1"/>
        <c:tickMarkSkip val="1"/>
      </c:catAx>
      <c:valAx>
        <c:axId val="4290895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8907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122688"/>
        <c:axId val="429124224"/>
      </c:barChart>
      <c:catAx>
        <c:axId val="429122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124224"/>
        <c:crossesAt val="0"/>
        <c:lblAlgn val="ctr"/>
        <c:lblOffset val="100"/>
        <c:tickLblSkip val="1"/>
        <c:tickMarkSkip val="1"/>
      </c:catAx>
      <c:valAx>
        <c:axId val="429124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122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198720"/>
        <c:axId val="429347968"/>
      </c:barChart>
      <c:catAx>
        <c:axId val="429198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347968"/>
        <c:crossesAt val="0"/>
        <c:lblAlgn val="ctr"/>
        <c:lblOffset val="100"/>
        <c:tickLblSkip val="1"/>
        <c:tickMarkSkip val="1"/>
      </c:catAx>
      <c:valAx>
        <c:axId val="429347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198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415040"/>
        <c:axId val="429425024"/>
      </c:barChart>
      <c:catAx>
        <c:axId val="42941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425024"/>
        <c:crossesAt val="0"/>
        <c:lblAlgn val="ctr"/>
        <c:lblOffset val="100"/>
        <c:tickLblSkip val="1"/>
        <c:tickMarkSkip val="1"/>
      </c:catAx>
      <c:valAx>
        <c:axId val="429425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41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499520"/>
        <c:axId val="429501056"/>
      </c:barChart>
      <c:catAx>
        <c:axId val="429499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501056"/>
        <c:crossesAt val="0"/>
        <c:lblAlgn val="ctr"/>
        <c:lblOffset val="100"/>
        <c:tickLblSkip val="1"/>
        <c:tickMarkSkip val="1"/>
      </c:catAx>
      <c:valAx>
        <c:axId val="429501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499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514112"/>
        <c:axId val="429520000"/>
      </c:barChart>
      <c:catAx>
        <c:axId val="429514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520000"/>
        <c:crossesAt val="0"/>
        <c:lblAlgn val="ctr"/>
        <c:lblOffset val="100"/>
        <c:tickLblSkip val="1"/>
        <c:tickMarkSkip val="1"/>
      </c:catAx>
      <c:valAx>
        <c:axId val="429520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514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750144"/>
        <c:axId val="429751680"/>
      </c:barChart>
      <c:catAx>
        <c:axId val="429750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751680"/>
        <c:crossesAt val="0"/>
        <c:lblAlgn val="ctr"/>
        <c:lblOffset val="100"/>
        <c:tickLblSkip val="1"/>
        <c:tickMarkSkip val="1"/>
      </c:catAx>
      <c:valAx>
        <c:axId val="429751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750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4481792"/>
        <c:axId val="494483328"/>
      </c:barChart>
      <c:catAx>
        <c:axId val="494481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483328"/>
        <c:crossesAt val="0"/>
        <c:lblAlgn val="ctr"/>
        <c:lblOffset val="100"/>
        <c:tickLblSkip val="1"/>
        <c:tickMarkSkip val="1"/>
      </c:catAx>
      <c:valAx>
        <c:axId val="494483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481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29800832"/>
        <c:axId val="429810816"/>
      </c:barChart>
      <c:catAx>
        <c:axId val="429800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810816"/>
        <c:crossesAt val="0"/>
        <c:lblAlgn val="ctr"/>
        <c:lblOffset val="100"/>
        <c:tickLblSkip val="1"/>
        <c:tickMarkSkip val="1"/>
      </c:catAx>
      <c:valAx>
        <c:axId val="429810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29800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30077824"/>
        <c:axId val="430079360"/>
      </c:barChart>
      <c:catAx>
        <c:axId val="43007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0079360"/>
        <c:crossesAt val="0"/>
        <c:lblAlgn val="ctr"/>
        <c:lblOffset val="100"/>
        <c:tickLblSkip val="1"/>
        <c:tickMarkSkip val="1"/>
      </c:catAx>
      <c:valAx>
        <c:axId val="43007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007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4420480"/>
        <c:axId val="444422016"/>
      </c:barChart>
      <c:catAx>
        <c:axId val="444420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422016"/>
        <c:crossesAt val="0"/>
        <c:lblAlgn val="ctr"/>
        <c:lblOffset val="100"/>
        <c:tickLblSkip val="1"/>
        <c:tickMarkSkip val="1"/>
      </c:catAx>
      <c:valAx>
        <c:axId val="444422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420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4644352"/>
        <c:axId val="444646144"/>
      </c:barChart>
      <c:catAx>
        <c:axId val="444644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646144"/>
        <c:crossesAt val="0"/>
        <c:lblAlgn val="ctr"/>
        <c:lblOffset val="100"/>
        <c:tickLblSkip val="1"/>
        <c:tickMarkSkip val="1"/>
      </c:catAx>
      <c:valAx>
        <c:axId val="444646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644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4679680"/>
        <c:axId val="444681216"/>
      </c:barChart>
      <c:catAx>
        <c:axId val="444679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681216"/>
        <c:crossesAt val="0"/>
        <c:lblAlgn val="ctr"/>
        <c:lblOffset val="100"/>
        <c:tickLblSkip val="1"/>
        <c:tickMarkSkip val="1"/>
      </c:catAx>
      <c:valAx>
        <c:axId val="444681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679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4719104"/>
        <c:axId val="444720640"/>
      </c:barChart>
      <c:catAx>
        <c:axId val="444719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720640"/>
        <c:crossesAt val="0"/>
        <c:lblAlgn val="ctr"/>
        <c:lblOffset val="100"/>
        <c:tickLblSkip val="1"/>
        <c:tickMarkSkip val="1"/>
      </c:catAx>
      <c:valAx>
        <c:axId val="444720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719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4737408"/>
        <c:axId val="444738944"/>
      </c:barChart>
      <c:catAx>
        <c:axId val="444737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738944"/>
        <c:crossesAt val="0"/>
        <c:lblAlgn val="ctr"/>
        <c:lblOffset val="100"/>
        <c:tickLblSkip val="1"/>
        <c:tickMarkSkip val="1"/>
      </c:catAx>
      <c:valAx>
        <c:axId val="444738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737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'#3-32D'!$CG$51:$CJ$51</c:f>
              <c:numCache>
                <c:formatCode>0.0</c:formatCode>
                <c:ptCount val="4"/>
                <c:pt idx="0">
                  <c:v>25.841746420841684</c:v>
                </c:pt>
                <c:pt idx="1">
                  <c:v>7.5356236274449842</c:v>
                </c:pt>
                <c:pt idx="2">
                  <c:v>64.417448659079938</c:v>
                </c:pt>
                <c:pt idx="3">
                  <c:v>0</c:v>
                </c:pt>
              </c:numCache>
            </c:numRef>
          </c:val>
        </c:ser>
        <c:gapWidth val="50"/>
        <c:axId val="444965248"/>
        <c:axId val="444966784"/>
      </c:barChart>
      <c:catAx>
        <c:axId val="444965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966784"/>
        <c:crossesAt val="0"/>
        <c:lblAlgn val="ctr"/>
        <c:lblOffset val="100"/>
        <c:tickLblSkip val="1"/>
        <c:tickMarkSkip val="1"/>
      </c:catAx>
      <c:valAx>
        <c:axId val="444966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965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'#3-32D'!$CN$51:$CQ$51</c:f>
              <c:numCache>
                <c:formatCode>0.00</c:formatCode>
                <c:ptCount val="4"/>
                <c:pt idx="0">
                  <c:v>0.40116066312413895</c:v>
                </c:pt>
                <c:pt idx="1">
                  <c:v>0.11698109416481528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444995456"/>
        <c:axId val="444996992"/>
      </c:barChart>
      <c:catAx>
        <c:axId val="444995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996992"/>
        <c:crossesAt val="0"/>
        <c:lblAlgn val="ctr"/>
        <c:lblOffset val="100"/>
        <c:tickLblSkip val="1"/>
        <c:tickMarkSkip val="1"/>
      </c:catAx>
      <c:valAx>
        <c:axId val="444996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4995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'#3-32D'!$CU$51:$CX$51</c:f>
              <c:numCache>
                <c:formatCode>0.00</c:formatCode>
                <c:ptCount val="4"/>
                <c:pt idx="0">
                  <c:v>0.59883933687586111</c:v>
                </c:pt>
                <c:pt idx="1">
                  <c:v>0.70839340713569532</c:v>
                </c:pt>
                <c:pt idx="2">
                  <c:v>0.88301890583518472</c:v>
                </c:pt>
                <c:pt idx="3">
                  <c:v>1</c:v>
                </c:pt>
              </c:numCache>
            </c:numRef>
          </c:val>
        </c:ser>
        <c:gapWidth val="50"/>
        <c:axId val="445014016"/>
        <c:axId val="445015552"/>
      </c:barChart>
      <c:catAx>
        <c:axId val="445014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015552"/>
        <c:crossesAt val="0"/>
        <c:lblAlgn val="ctr"/>
        <c:lblOffset val="100"/>
        <c:tickLblSkip val="1"/>
        <c:tickMarkSkip val="1"/>
      </c:catAx>
      <c:valAx>
        <c:axId val="445015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014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4926848"/>
        <c:axId val="495083520"/>
      </c:barChart>
      <c:catAx>
        <c:axId val="494926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083520"/>
        <c:crossesAt val="0"/>
        <c:lblAlgn val="ctr"/>
        <c:lblOffset val="100"/>
        <c:tickLblSkip val="1"/>
        <c:tickMarkSkip val="1"/>
      </c:catAx>
      <c:valAx>
        <c:axId val="495083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926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'#3-32D'!$BL$51:$BO$51</c:f>
              <c:numCache>
                <c:formatCode>0.0</c:formatCode>
                <c:ptCount val="4"/>
                <c:pt idx="0">
                  <c:v>27.768536000000001</c:v>
                </c:pt>
                <c:pt idx="1">
                  <c:v>9.4624132066033013</c:v>
                </c:pt>
                <c:pt idx="2">
                  <c:v>66.344238238238248</c:v>
                </c:pt>
                <c:pt idx="3">
                  <c:v>1.9267895791583167</c:v>
                </c:pt>
              </c:numCache>
            </c:numRef>
          </c:val>
        </c:ser>
        <c:gapWidth val="50"/>
        <c:axId val="445049088"/>
        <c:axId val="445071360"/>
      </c:barChart>
      <c:catAx>
        <c:axId val="445049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071360"/>
        <c:crossesAt val="0"/>
        <c:lblAlgn val="ctr"/>
        <c:lblOffset val="100"/>
        <c:tickLblSkip val="1"/>
        <c:tickMarkSkip val="1"/>
      </c:catAx>
      <c:valAx>
        <c:axId val="445071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049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'#3-32D'!$BS$51:$BV$51</c:f>
              <c:numCache>
                <c:formatCode>0.00</c:formatCode>
                <c:ptCount val="4"/>
                <c:pt idx="0">
                  <c:v>0.41855233758634514</c:v>
                </c:pt>
                <c:pt idx="1">
                  <c:v>0.1426259982460622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val>
        </c:ser>
        <c:gapWidth val="50"/>
        <c:axId val="445264640"/>
        <c:axId val="445266176"/>
      </c:barChart>
      <c:catAx>
        <c:axId val="445264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266176"/>
        <c:crossesAt val="0"/>
        <c:lblAlgn val="ctr"/>
        <c:lblOffset val="100"/>
        <c:tickLblSkip val="1"/>
        <c:tickMarkSkip val="1"/>
      </c:catAx>
      <c:valAx>
        <c:axId val="445266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264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'#3-32D'!$BZ$51:$CC$51</c:f>
              <c:numCache>
                <c:formatCode>0.00</c:formatCode>
                <c:ptCount val="4"/>
                <c:pt idx="0">
                  <c:v>0.58144766241365486</c:v>
                </c:pt>
                <c:pt idx="1">
                  <c:v>0.65923975226481868</c:v>
                </c:pt>
                <c:pt idx="2">
                  <c:v>0.85737400175393774</c:v>
                </c:pt>
                <c:pt idx="3">
                  <c:v>0.97095769534289733</c:v>
                </c:pt>
              </c:numCache>
            </c:numRef>
          </c:val>
        </c:ser>
        <c:gapWidth val="50"/>
        <c:axId val="445402112"/>
        <c:axId val="445420288"/>
      </c:barChart>
      <c:catAx>
        <c:axId val="445402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420288"/>
        <c:crossesAt val="0"/>
        <c:lblAlgn val="ctr"/>
        <c:lblOffset val="100"/>
        <c:tickLblSkip val="1"/>
        <c:tickMarkSkip val="1"/>
      </c:catAx>
      <c:valAx>
        <c:axId val="445420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402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'#3-32D'!$BL$34:$BO$34</c:f>
              <c:numCache>
                <c:formatCode>0.0</c:formatCode>
                <c:ptCount val="4"/>
                <c:pt idx="0">
                  <c:v>27.768536000000001</c:v>
                </c:pt>
                <c:pt idx="1">
                  <c:v>9.4624132066033013</c:v>
                </c:pt>
                <c:pt idx="2">
                  <c:v>66.344238238238248</c:v>
                </c:pt>
                <c:pt idx="3">
                  <c:v>1.9267895791583167</c:v>
                </c:pt>
              </c:numCache>
            </c:numRef>
          </c:val>
        </c:ser>
        <c:gapWidth val="50"/>
        <c:axId val="460719232"/>
        <c:axId val="460720768"/>
      </c:barChart>
      <c:scatterChart>
        <c:scatterStyle val="lineMarker"/>
        <c:ser>
          <c:idx val="1"/>
          <c:order val="1"/>
          <c:tx>
            <c:strRef>
              <c:f>'#3-32D'!$BG$3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'#3-32D'!$BL$3:$BO$3</c:f>
              <c:numCache>
                <c:formatCode>0.0</c:formatCode>
                <c:ptCount val="4"/>
                <c:pt idx="0">
                  <c:v>27.768536000000001</c:v>
                </c:pt>
                <c:pt idx="1">
                  <c:v>9.4624132066033013</c:v>
                </c:pt>
                <c:pt idx="2">
                  <c:v>66.344238238238248</c:v>
                </c:pt>
                <c:pt idx="3">
                  <c:v>1.9267895791583167</c:v>
                </c:pt>
              </c:numCache>
            </c:numRef>
          </c:yVal>
        </c:ser>
        <c:ser>
          <c:idx val="2"/>
          <c:order val="2"/>
          <c:tx>
            <c:strRef>
              <c:f>'#3-32D'!$BG$4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0719232"/>
        <c:axId val="460720768"/>
      </c:scatterChart>
      <c:catAx>
        <c:axId val="460719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0720768"/>
        <c:crossesAt val="0"/>
        <c:lblAlgn val="ctr"/>
        <c:lblOffset val="100"/>
        <c:tickLblSkip val="1"/>
        <c:tickMarkSkip val="1"/>
      </c:catAx>
      <c:valAx>
        <c:axId val="460720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2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0719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'#3-32D'!$BS$34:$BV$34</c:f>
              <c:numCache>
                <c:formatCode>0.00</c:formatCode>
                <c:ptCount val="4"/>
                <c:pt idx="0">
                  <c:v>0.41855233758634514</c:v>
                </c:pt>
                <c:pt idx="1">
                  <c:v>0.1426259982460622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val>
        </c:ser>
        <c:gapWidth val="50"/>
        <c:axId val="467389056"/>
        <c:axId val="467390848"/>
      </c:barChart>
      <c:scatterChart>
        <c:scatterStyle val="lineMarker"/>
        <c:ser>
          <c:idx val="1"/>
          <c:order val="1"/>
          <c:tx>
            <c:strRef>
              <c:f>'#3-32D'!$BP$3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'#3-32D'!$BS$3:$BV$3</c:f>
              <c:numCache>
                <c:formatCode>0.00</c:formatCode>
                <c:ptCount val="4"/>
                <c:pt idx="0">
                  <c:v>0.41855233758634514</c:v>
                </c:pt>
                <c:pt idx="1">
                  <c:v>0.1426259982460622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yVal>
        </c:ser>
        <c:ser>
          <c:idx val="2"/>
          <c:order val="2"/>
          <c:tx>
            <c:strRef>
              <c:f>'#3-32D'!$BP$4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7389056"/>
        <c:axId val="467390848"/>
      </c:scatterChart>
      <c:catAx>
        <c:axId val="467389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7390848"/>
        <c:crossesAt val="0"/>
        <c:lblAlgn val="ctr"/>
        <c:lblOffset val="100"/>
        <c:tickLblSkip val="1"/>
        <c:tickMarkSkip val="1"/>
      </c:catAx>
      <c:valAx>
        <c:axId val="467390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7389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'#3-32D'!$BZ$34:$CC$34</c:f>
              <c:numCache>
                <c:formatCode>0.00</c:formatCode>
                <c:ptCount val="4"/>
                <c:pt idx="0">
                  <c:v>0.58144766241365486</c:v>
                </c:pt>
                <c:pt idx="1">
                  <c:v>0.65923975226481868</c:v>
                </c:pt>
                <c:pt idx="2">
                  <c:v>0.85737400175393774</c:v>
                </c:pt>
                <c:pt idx="3">
                  <c:v>0.97095769534289733</c:v>
                </c:pt>
              </c:numCache>
            </c:numRef>
          </c:val>
        </c:ser>
        <c:gapWidth val="50"/>
        <c:axId val="467863808"/>
        <c:axId val="467869696"/>
      </c:barChart>
      <c:scatterChart>
        <c:scatterStyle val="lineMarker"/>
        <c:ser>
          <c:idx val="1"/>
          <c:order val="1"/>
          <c:tx>
            <c:strRef>
              <c:f>'#3-32D'!$BW$3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'#3-32D'!$BZ$3:$CC$3</c:f>
              <c:numCache>
                <c:formatCode>0.00</c:formatCode>
                <c:ptCount val="4"/>
                <c:pt idx="0">
                  <c:v>0.58144766241365486</c:v>
                </c:pt>
                <c:pt idx="1">
                  <c:v>0.65923975226481868</c:v>
                </c:pt>
                <c:pt idx="2">
                  <c:v>0.85737400175393774</c:v>
                </c:pt>
                <c:pt idx="3">
                  <c:v>0.97095769534289733</c:v>
                </c:pt>
              </c:numCache>
            </c:numRef>
          </c:yVal>
        </c:ser>
        <c:ser>
          <c:idx val="2"/>
          <c:order val="2"/>
          <c:tx>
            <c:strRef>
              <c:f>'#3-32D'!$BW$4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7863808"/>
        <c:axId val="467869696"/>
      </c:scatterChart>
      <c:catAx>
        <c:axId val="467863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7869696"/>
        <c:crossesAt val="0"/>
        <c:lblAlgn val="ctr"/>
        <c:lblOffset val="100"/>
        <c:tickLblSkip val="1"/>
        <c:tickMarkSkip val="1"/>
      </c:catAx>
      <c:valAx>
        <c:axId val="467869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7863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'#3-32D'!$CG$34:$CJ$34</c:f>
              <c:numCache>
                <c:formatCode>0.0</c:formatCode>
                <c:ptCount val="4"/>
                <c:pt idx="0">
                  <c:v>25.841746420841684</c:v>
                </c:pt>
                <c:pt idx="1">
                  <c:v>7.5356236274449842</c:v>
                </c:pt>
                <c:pt idx="2">
                  <c:v>64.417448659079938</c:v>
                </c:pt>
                <c:pt idx="3">
                  <c:v>0</c:v>
                </c:pt>
              </c:numCache>
            </c:numRef>
          </c:val>
        </c:ser>
        <c:gapWidth val="50"/>
        <c:axId val="468246528"/>
        <c:axId val="468248064"/>
      </c:barChart>
      <c:scatterChart>
        <c:scatterStyle val="lineMarker"/>
        <c:ser>
          <c:idx val="1"/>
          <c:order val="1"/>
          <c:tx>
            <c:strRef>
              <c:f>'#3-32D'!$CK$3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'#3-32D'!$CG$3:$CJ$3</c:f>
              <c:numCache>
                <c:formatCode>0.0</c:formatCode>
                <c:ptCount val="4"/>
                <c:pt idx="0">
                  <c:v>25.841746420841684</c:v>
                </c:pt>
                <c:pt idx="1">
                  <c:v>7.5356236274449842</c:v>
                </c:pt>
                <c:pt idx="2">
                  <c:v>64.417448659079938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'#3-32D'!$CK$4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8246528"/>
        <c:axId val="468248064"/>
      </c:scatterChart>
      <c:catAx>
        <c:axId val="468246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248064"/>
        <c:crossesAt val="0"/>
        <c:lblAlgn val="ctr"/>
        <c:lblOffset val="100"/>
        <c:tickLblSkip val="1"/>
        <c:tickMarkSkip val="1"/>
      </c:catAx>
      <c:valAx>
        <c:axId val="468248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246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'#3-32D'!$CN$34:$CQ$34</c:f>
              <c:numCache>
                <c:formatCode>0.00</c:formatCode>
                <c:ptCount val="4"/>
                <c:pt idx="0">
                  <c:v>0.40116066312413895</c:v>
                </c:pt>
                <c:pt idx="1">
                  <c:v>0.11698109416481528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469396480"/>
        <c:axId val="469406464"/>
      </c:barChart>
      <c:scatterChart>
        <c:scatterStyle val="lineMarker"/>
        <c:ser>
          <c:idx val="1"/>
          <c:order val="1"/>
          <c:tx>
            <c:strRef>
              <c:f>'#3-32D'!$CR$3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'#3-32D'!$CN$3:$CQ$3</c:f>
              <c:numCache>
                <c:formatCode>0.00</c:formatCode>
                <c:ptCount val="4"/>
                <c:pt idx="0">
                  <c:v>0.40116066312413895</c:v>
                </c:pt>
                <c:pt idx="1">
                  <c:v>0.11698109416481528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'#3-32D'!$CR$4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9396480"/>
        <c:axId val="469406464"/>
      </c:scatterChart>
      <c:catAx>
        <c:axId val="469396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406464"/>
        <c:crossesAt val="0"/>
        <c:lblAlgn val="ctr"/>
        <c:lblOffset val="100"/>
        <c:tickLblSkip val="1"/>
        <c:tickMarkSkip val="1"/>
      </c:catAx>
      <c:valAx>
        <c:axId val="4694064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1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39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'#3-32D'!$CU$1:$CX$1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'#3-32D'!$CU$34:$CX$34</c:f>
              <c:numCache>
                <c:formatCode>0.00</c:formatCode>
                <c:ptCount val="4"/>
                <c:pt idx="0">
                  <c:v>0.59883933687586111</c:v>
                </c:pt>
                <c:pt idx="1">
                  <c:v>0.70839340713569532</c:v>
                </c:pt>
                <c:pt idx="2">
                  <c:v>0.88301890583518472</c:v>
                </c:pt>
                <c:pt idx="3">
                  <c:v>1</c:v>
                </c:pt>
              </c:numCache>
            </c:numRef>
          </c:val>
        </c:ser>
        <c:gapWidth val="50"/>
        <c:axId val="470197760"/>
        <c:axId val="470199296"/>
      </c:barChart>
      <c:scatterChart>
        <c:scatterStyle val="lineMarker"/>
        <c:ser>
          <c:idx val="1"/>
          <c:order val="1"/>
          <c:tx>
            <c:strRef>
              <c:f>'#3-32D'!$CY$3</c:f>
              <c:strCache>
                <c:ptCount val="1"/>
                <c:pt idx="0">
                  <c:v>3.01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'#3-32D'!$CU$3:$CX$3</c:f>
              <c:numCache>
                <c:formatCode>0.00</c:formatCode>
                <c:ptCount val="4"/>
                <c:pt idx="0">
                  <c:v>0.59883933687586111</c:v>
                </c:pt>
                <c:pt idx="1">
                  <c:v>0.70839340713569532</c:v>
                </c:pt>
                <c:pt idx="2">
                  <c:v>0.88301890583518472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'#3-32D'!$CY$4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0197760"/>
        <c:axId val="470199296"/>
      </c:scatterChart>
      <c:catAx>
        <c:axId val="470197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199296"/>
        <c:crossesAt val="0"/>
        <c:lblAlgn val="ctr"/>
        <c:lblOffset val="100"/>
        <c:tickLblSkip val="1"/>
        <c:tickMarkSkip val="1"/>
      </c:catAx>
      <c:valAx>
        <c:axId val="470199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2105263824469330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197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425600"/>
        <c:axId val="470427136"/>
      </c:barChart>
      <c:catAx>
        <c:axId val="470425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27136"/>
        <c:crossesAt val="0"/>
        <c:lblAlgn val="ctr"/>
        <c:lblOffset val="100"/>
        <c:tickLblSkip val="1"/>
        <c:tickMarkSkip val="1"/>
      </c:catAx>
      <c:valAx>
        <c:axId val="470427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25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5618304"/>
        <c:axId val="495632384"/>
      </c:barChart>
      <c:catAx>
        <c:axId val="495618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632384"/>
        <c:crossesAt val="0"/>
        <c:lblAlgn val="ctr"/>
        <c:lblOffset val="100"/>
        <c:tickLblSkip val="1"/>
        <c:tickMarkSkip val="1"/>
      </c:catAx>
      <c:valAx>
        <c:axId val="4956323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618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448384"/>
        <c:axId val="470450176"/>
      </c:barChart>
      <c:catAx>
        <c:axId val="470448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50176"/>
        <c:crossesAt val="0"/>
        <c:lblAlgn val="ctr"/>
        <c:lblOffset val="100"/>
        <c:tickLblSkip val="1"/>
        <c:tickMarkSkip val="1"/>
      </c:catAx>
      <c:valAx>
        <c:axId val="470450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48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479616"/>
        <c:axId val="470481152"/>
      </c:barChart>
      <c:catAx>
        <c:axId val="470479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81152"/>
        <c:crossesAt val="0"/>
        <c:lblAlgn val="ctr"/>
        <c:lblOffset val="100"/>
        <c:tickLblSkip val="1"/>
        <c:tickMarkSkip val="1"/>
      </c:catAx>
      <c:valAx>
        <c:axId val="4704811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4796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502016"/>
        <c:axId val="470552960"/>
      </c:barChart>
      <c:catAx>
        <c:axId val="470502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552960"/>
        <c:crossesAt val="0"/>
        <c:lblAlgn val="ctr"/>
        <c:lblOffset val="100"/>
        <c:tickLblSkip val="1"/>
        <c:tickMarkSkip val="1"/>
      </c:catAx>
      <c:valAx>
        <c:axId val="470552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502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582400"/>
        <c:axId val="470583936"/>
      </c:barChart>
      <c:catAx>
        <c:axId val="470582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583936"/>
        <c:crossesAt val="0"/>
        <c:lblAlgn val="ctr"/>
        <c:lblOffset val="100"/>
        <c:tickLblSkip val="1"/>
        <c:tickMarkSkip val="1"/>
      </c:catAx>
      <c:valAx>
        <c:axId val="470583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582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678528"/>
        <c:axId val="470754048"/>
      </c:barChart>
      <c:catAx>
        <c:axId val="470678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54048"/>
        <c:crossesAt val="0"/>
        <c:lblAlgn val="ctr"/>
        <c:lblOffset val="100"/>
        <c:tickLblSkip val="1"/>
        <c:tickMarkSkip val="1"/>
      </c:catAx>
      <c:valAx>
        <c:axId val="470754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678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787584"/>
        <c:axId val="470789120"/>
      </c:barChart>
      <c:catAx>
        <c:axId val="470787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89120"/>
        <c:crossesAt val="0"/>
        <c:lblAlgn val="ctr"/>
        <c:lblOffset val="100"/>
        <c:tickLblSkip val="1"/>
        <c:tickMarkSkip val="1"/>
      </c:catAx>
      <c:valAx>
        <c:axId val="470789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875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876160"/>
        <c:axId val="470877696"/>
      </c:barChart>
      <c:catAx>
        <c:axId val="470876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877696"/>
        <c:crossesAt val="0"/>
        <c:lblAlgn val="ctr"/>
        <c:lblOffset val="100"/>
        <c:tickLblSkip val="1"/>
        <c:tickMarkSkip val="1"/>
      </c:catAx>
      <c:valAx>
        <c:axId val="470877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876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894464"/>
        <c:axId val="470896000"/>
      </c:barChart>
      <c:catAx>
        <c:axId val="470894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896000"/>
        <c:crossesAt val="0"/>
        <c:lblAlgn val="ctr"/>
        <c:lblOffset val="100"/>
        <c:tickLblSkip val="1"/>
        <c:tickMarkSkip val="1"/>
      </c:catAx>
      <c:valAx>
        <c:axId val="470896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894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929792"/>
        <c:axId val="470931328"/>
      </c:barChart>
      <c:catAx>
        <c:axId val="470929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931328"/>
        <c:crossesAt val="0"/>
        <c:lblAlgn val="ctr"/>
        <c:lblOffset val="100"/>
        <c:tickLblSkip val="1"/>
        <c:tickMarkSkip val="1"/>
      </c:catAx>
      <c:valAx>
        <c:axId val="470931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929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944384"/>
        <c:axId val="470946176"/>
      </c:barChart>
      <c:catAx>
        <c:axId val="470944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946176"/>
        <c:crossesAt val="0"/>
        <c:lblAlgn val="ctr"/>
        <c:lblOffset val="100"/>
        <c:tickLblSkip val="1"/>
        <c:tickMarkSkip val="1"/>
      </c:catAx>
      <c:valAx>
        <c:axId val="470946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944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247936"/>
        <c:axId val="496275456"/>
      </c:barChart>
      <c:catAx>
        <c:axId val="496247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275456"/>
        <c:crossesAt val="0"/>
        <c:lblAlgn val="ctr"/>
        <c:lblOffset val="100"/>
        <c:tickLblSkip val="1"/>
        <c:tickMarkSkip val="1"/>
      </c:catAx>
      <c:valAx>
        <c:axId val="496275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247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192704"/>
        <c:axId val="471194240"/>
      </c:barChart>
      <c:catAx>
        <c:axId val="471192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194240"/>
        <c:crossesAt val="0"/>
        <c:lblAlgn val="ctr"/>
        <c:lblOffset val="100"/>
        <c:tickLblSkip val="1"/>
        <c:tickMarkSkip val="1"/>
      </c:catAx>
      <c:valAx>
        <c:axId val="471194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192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544576"/>
        <c:axId val="471546112"/>
      </c:barChart>
      <c:catAx>
        <c:axId val="471544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546112"/>
        <c:crossesAt val="0"/>
        <c:lblAlgn val="ctr"/>
        <c:lblOffset val="100"/>
        <c:tickLblSkip val="1"/>
        <c:tickMarkSkip val="1"/>
      </c:catAx>
      <c:valAx>
        <c:axId val="471546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544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653376"/>
        <c:axId val="471659264"/>
      </c:barChart>
      <c:catAx>
        <c:axId val="471653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659264"/>
        <c:crossesAt val="0"/>
        <c:lblAlgn val="ctr"/>
        <c:lblOffset val="100"/>
        <c:tickLblSkip val="1"/>
        <c:tickMarkSkip val="1"/>
      </c:catAx>
      <c:valAx>
        <c:axId val="471659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653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700992"/>
        <c:axId val="471702528"/>
      </c:barChart>
      <c:catAx>
        <c:axId val="471700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702528"/>
        <c:crossesAt val="0"/>
        <c:lblAlgn val="ctr"/>
        <c:lblOffset val="100"/>
        <c:tickLblSkip val="1"/>
        <c:tickMarkSkip val="1"/>
      </c:catAx>
      <c:valAx>
        <c:axId val="471702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700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810048"/>
        <c:axId val="471811584"/>
      </c:barChart>
      <c:catAx>
        <c:axId val="471810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811584"/>
        <c:crossesAt val="0"/>
        <c:lblAlgn val="ctr"/>
        <c:lblOffset val="100"/>
        <c:tickLblSkip val="1"/>
        <c:tickMarkSkip val="1"/>
      </c:catAx>
      <c:valAx>
        <c:axId val="471811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810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922944"/>
        <c:axId val="471924736"/>
      </c:barChart>
      <c:catAx>
        <c:axId val="47192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924736"/>
        <c:crossesAt val="0"/>
        <c:lblAlgn val="ctr"/>
        <c:lblOffset val="100"/>
        <c:tickLblSkip val="1"/>
        <c:tickMarkSkip val="1"/>
      </c:catAx>
      <c:valAx>
        <c:axId val="471924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92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1974272"/>
        <c:axId val="471975808"/>
      </c:barChart>
      <c:catAx>
        <c:axId val="471974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975808"/>
        <c:crossesAt val="0"/>
        <c:lblAlgn val="ctr"/>
        <c:lblOffset val="100"/>
        <c:tickLblSkip val="1"/>
        <c:tickMarkSkip val="1"/>
      </c:catAx>
      <c:valAx>
        <c:axId val="47197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974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050304"/>
        <c:axId val="472052096"/>
      </c:barChart>
      <c:catAx>
        <c:axId val="472050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052096"/>
        <c:crossesAt val="0"/>
        <c:lblAlgn val="ctr"/>
        <c:lblOffset val="100"/>
        <c:tickLblSkip val="1"/>
        <c:tickMarkSkip val="1"/>
      </c:catAx>
      <c:valAx>
        <c:axId val="472052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050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097920"/>
        <c:axId val="472099456"/>
      </c:barChart>
      <c:catAx>
        <c:axId val="472097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099456"/>
        <c:crossesAt val="0"/>
        <c:lblAlgn val="ctr"/>
        <c:lblOffset val="100"/>
        <c:tickLblSkip val="1"/>
        <c:tickMarkSkip val="1"/>
      </c:catAx>
      <c:valAx>
        <c:axId val="472099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097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554368"/>
        <c:axId val="480560256"/>
      </c:barChart>
      <c:catAx>
        <c:axId val="480554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560256"/>
        <c:crossesAt val="0"/>
        <c:lblAlgn val="ctr"/>
        <c:lblOffset val="100"/>
        <c:tickLblSkip val="1"/>
        <c:tickMarkSkip val="1"/>
      </c:catAx>
      <c:valAx>
        <c:axId val="480560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554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510080"/>
        <c:axId val="496511616"/>
      </c:barChart>
      <c:catAx>
        <c:axId val="496510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511616"/>
        <c:crossesAt val="0"/>
        <c:lblAlgn val="ctr"/>
        <c:lblOffset val="100"/>
        <c:tickLblSkip val="1"/>
        <c:tickMarkSkip val="1"/>
      </c:catAx>
      <c:valAx>
        <c:axId val="496511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510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585600"/>
        <c:axId val="480587136"/>
      </c:barChart>
      <c:catAx>
        <c:axId val="480585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587136"/>
        <c:crossesAt val="0"/>
        <c:lblAlgn val="ctr"/>
        <c:lblOffset val="100"/>
        <c:tickLblSkip val="1"/>
        <c:tickMarkSkip val="1"/>
      </c:catAx>
      <c:valAx>
        <c:axId val="480587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585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743808"/>
        <c:axId val="480745344"/>
      </c:barChart>
      <c:catAx>
        <c:axId val="480743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745344"/>
        <c:crossesAt val="0"/>
        <c:lblAlgn val="ctr"/>
        <c:lblOffset val="100"/>
        <c:tickLblSkip val="1"/>
        <c:tickMarkSkip val="1"/>
      </c:catAx>
      <c:valAx>
        <c:axId val="480745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743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778496"/>
        <c:axId val="480780288"/>
      </c:barChart>
      <c:catAx>
        <c:axId val="480778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780288"/>
        <c:crossesAt val="0"/>
        <c:lblAlgn val="ctr"/>
        <c:lblOffset val="100"/>
        <c:tickLblSkip val="1"/>
        <c:tickMarkSkip val="1"/>
      </c:catAx>
      <c:valAx>
        <c:axId val="480780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778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087680"/>
        <c:axId val="482089216"/>
      </c:barChart>
      <c:catAx>
        <c:axId val="482087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89216"/>
        <c:crossesAt val="0"/>
        <c:lblAlgn val="ctr"/>
        <c:lblOffset val="100"/>
        <c:tickLblSkip val="1"/>
        <c:tickMarkSkip val="1"/>
      </c:catAx>
      <c:valAx>
        <c:axId val="482089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87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135040"/>
        <c:axId val="482149120"/>
      </c:barChart>
      <c:catAx>
        <c:axId val="48213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149120"/>
        <c:crossesAt val="0"/>
        <c:lblAlgn val="ctr"/>
        <c:lblOffset val="100"/>
        <c:tickLblSkip val="1"/>
        <c:tickMarkSkip val="1"/>
      </c:catAx>
      <c:valAx>
        <c:axId val="482149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13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235904"/>
        <c:axId val="482237440"/>
      </c:barChart>
      <c:catAx>
        <c:axId val="482235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237440"/>
        <c:crossesAt val="0"/>
        <c:lblAlgn val="ctr"/>
        <c:lblOffset val="100"/>
        <c:tickLblSkip val="1"/>
        <c:tickMarkSkip val="1"/>
      </c:catAx>
      <c:valAx>
        <c:axId val="482237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235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377728"/>
        <c:axId val="482379264"/>
      </c:barChart>
      <c:catAx>
        <c:axId val="482377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379264"/>
        <c:crossesAt val="0"/>
        <c:lblAlgn val="ctr"/>
        <c:lblOffset val="100"/>
        <c:tickLblSkip val="1"/>
        <c:tickMarkSkip val="1"/>
      </c:catAx>
      <c:valAx>
        <c:axId val="482379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377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416896"/>
        <c:axId val="482455552"/>
      </c:barChart>
      <c:catAx>
        <c:axId val="482416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455552"/>
        <c:crossesAt val="0"/>
        <c:lblAlgn val="ctr"/>
        <c:lblOffset val="100"/>
        <c:tickLblSkip val="1"/>
        <c:tickMarkSkip val="1"/>
      </c:catAx>
      <c:valAx>
        <c:axId val="482455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416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623872"/>
        <c:axId val="482625408"/>
      </c:barChart>
      <c:catAx>
        <c:axId val="482623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625408"/>
        <c:crossesAt val="0"/>
        <c:lblAlgn val="ctr"/>
        <c:lblOffset val="100"/>
        <c:tickLblSkip val="1"/>
        <c:tickMarkSkip val="1"/>
      </c:catAx>
      <c:valAx>
        <c:axId val="482625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623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650752"/>
        <c:axId val="482656640"/>
      </c:barChart>
      <c:catAx>
        <c:axId val="482650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656640"/>
        <c:crossesAt val="0"/>
        <c:lblAlgn val="ctr"/>
        <c:lblOffset val="100"/>
        <c:tickLblSkip val="1"/>
        <c:tickMarkSkip val="1"/>
      </c:catAx>
      <c:valAx>
        <c:axId val="482656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6507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7312512"/>
        <c:axId val="497314048"/>
      </c:barChart>
      <c:catAx>
        <c:axId val="497312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14048"/>
        <c:crossesAt val="0"/>
        <c:lblAlgn val="ctr"/>
        <c:lblOffset val="100"/>
        <c:tickLblSkip val="1"/>
        <c:tickMarkSkip val="1"/>
      </c:catAx>
      <c:valAx>
        <c:axId val="497314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312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760576"/>
        <c:axId val="482762112"/>
      </c:barChart>
      <c:catAx>
        <c:axId val="482760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762112"/>
        <c:crossesAt val="0"/>
        <c:lblAlgn val="ctr"/>
        <c:lblOffset val="100"/>
        <c:tickLblSkip val="1"/>
        <c:tickMarkSkip val="1"/>
      </c:catAx>
      <c:valAx>
        <c:axId val="482762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76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795904"/>
        <c:axId val="482797440"/>
      </c:barChart>
      <c:catAx>
        <c:axId val="482795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797440"/>
        <c:crossesAt val="0"/>
        <c:lblAlgn val="ctr"/>
        <c:lblOffset val="100"/>
        <c:tickLblSkip val="1"/>
        <c:tickMarkSkip val="1"/>
      </c:catAx>
      <c:valAx>
        <c:axId val="482797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795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851456"/>
        <c:axId val="482853248"/>
      </c:barChart>
      <c:catAx>
        <c:axId val="482851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853248"/>
        <c:crossesAt val="0"/>
        <c:lblAlgn val="ctr"/>
        <c:lblOffset val="100"/>
        <c:tickLblSkip val="1"/>
        <c:tickMarkSkip val="1"/>
      </c:catAx>
      <c:valAx>
        <c:axId val="482853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851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878592"/>
        <c:axId val="482880128"/>
      </c:barChart>
      <c:catAx>
        <c:axId val="482878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880128"/>
        <c:crossesAt val="0"/>
        <c:lblAlgn val="ctr"/>
        <c:lblOffset val="100"/>
        <c:tickLblSkip val="1"/>
        <c:tickMarkSkip val="1"/>
      </c:catAx>
      <c:valAx>
        <c:axId val="4828801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8785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953856"/>
        <c:axId val="482955648"/>
      </c:barChart>
      <c:catAx>
        <c:axId val="482953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955648"/>
        <c:crossesAt val="0"/>
        <c:lblAlgn val="ctr"/>
        <c:lblOffset val="100"/>
        <c:tickLblSkip val="1"/>
        <c:tickMarkSkip val="1"/>
      </c:catAx>
      <c:valAx>
        <c:axId val="482955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953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042432"/>
        <c:axId val="483043968"/>
      </c:barChart>
      <c:catAx>
        <c:axId val="483042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043968"/>
        <c:crossesAt val="0"/>
        <c:lblAlgn val="ctr"/>
        <c:lblOffset val="100"/>
        <c:tickLblSkip val="1"/>
        <c:tickMarkSkip val="1"/>
      </c:catAx>
      <c:valAx>
        <c:axId val="483043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042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089792"/>
        <c:axId val="483091584"/>
      </c:barChart>
      <c:catAx>
        <c:axId val="483089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091584"/>
        <c:crossesAt val="0"/>
        <c:lblAlgn val="ctr"/>
        <c:lblOffset val="100"/>
        <c:tickLblSkip val="1"/>
        <c:tickMarkSkip val="1"/>
      </c:catAx>
      <c:valAx>
        <c:axId val="483091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089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293440"/>
        <c:axId val="483295232"/>
      </c:barChart>
      <c:catAx>
        <c:axId val="483293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295232"/>
        <c:crossesAt val="0"/>
        <c:lblAlgn val="ctr"/>
        <c:lblOffset val="100"/>
        <c:tickLblSkip val="1"/>
        <c:tickMarkSkip val="1"/>
      </c:catAx>
      <c:valAx>
        <c:axId val="483295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293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316480"/>
        <c:axId val="483318016"/>
      </c:barChart>
      <c:catAx>
        <c:axId val="483316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18016"/>
        <c:crossesAt val="0"/>
        <c:lblAlgn val="ctr"/>
        <c:lblOffset val="100"/>
        <c:tickLblSkip val="1"/>
        <c:tickMarkSkip val="1"/>
      </c:catAx>
      <c:valAx>
        <c:axId val="483318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1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347456"/>
        <c:axId val="483349248"/>
      </c:barChart>
      <c:catAx>
        <c:axId val="483347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49248"/>
        <c:crossesAt val="0"/>
        <c:lblAlgn val="ctr"/>
        <c:lblOffset val="100"/>
        <c:tickLblSkip val="1"/>
        <c:tickMarkSkip val="1"/>
      </c:catAx>
      <c:valAx>
        <c:axId val="483349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47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Summary!$L$2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Summary!$N$10:$Q$10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Summary!$N$3:$Q$3</c:f>
              <c:numCache>
                <c:formatCode>0.00</c:formatCode>
                <c:ptCount val="4"/>
                <c:pt idx="0">
                  <c:v>0.41187007573553508</c:v>
                </c:pt>
                <c:pt idx="1">
                  <c:v>0.12999967190259845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val>
        </c:ser>
        <c:ser>
          <c:idx val="1"/>
          <c:order val="1"/>
          <c:tx>
            <c:strRef>
              <c:f>Summary!$L$10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chemeClr val="bg1"/>
            </a:solidFill>
            <a:ln w="31750">
              <a:solidFill>
                <a:schemeClr val="tx1"/>
              </a:solidFill>
            </a:ln>
          </c:spPr>
          <c:dPt>
            <c:idx val="0"/>
            <c:spPr>
              <a:solidFill>
                <a:schemeClr val="bg1"/>
              </a:solidFill>
              <a:ln w="31750">
                <a:solidFill>
                  <a:srgbClr val="66FF33"/>
                </a:solidFill>
              </a:ln>
            </c:spPr>
          </c:dPt>
          <c:dPt>
            <c:idx val="1"/>
            <c:spPr>
              <a:solidFill>
                <a:schemeClr val="bg1"/>
              </a:solidFill>
              <a:ln w="31750">
                <a:solidFill>
                  <a:srgbClr val="FF0000"/>
                </a:solidFill>
              </a:ln>
            </c:spPr>
          </c:dPt>
          <c:dPt>
            <c:idx val="2"/>
            <c:spPr>
              <a:solidFill>
                <a:schemeClr val="bg1"/>
              </a:solidFill>
              <a:ln w="31750">
                <a:solidFill>
                  <a:srgbClr val="2856BA"/>
                </a:solidFill>
              </a:ln>
            </c:spPr>
          </c:dPt>
          <c:cat>
            <c:strRef>
              <c:f>Summary!$N$10:$Q$10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Summary!$N$11:$Q$11</c:f>
              <c:numCache>
                <c:formatCode>0.00</c:formatCode>
                <c:ptCount val="4"/>
                <c:pt idx="0">
                  <c:v>0.36903967135925042</c:v>
                </c:pt>
                <c:pt idx="1">
                  <c:v>0.11209712103269077</c:v>
                </c:pt>
                <c:pt idx="2">
                  <c:v>1</c:v>
                </c:pt>
                <c:pt idx="3">
                  <c:v>1.868046969315687E-2</c:v>
                </c:pt>
              </c:numCache>
            </c:numRef>
          </c:val>
        </c:ser>
        <c:gapWidth val="50"/>
        <c:axId val="271232000"/>
        <c:axId val="313078528"/>
      </c:barChart>
      <c:catAx>
        <c:axId val="271232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3078528"/>
        <c:crossesAt val="0"/>
        <c:lblAlgn val="ctr"/>
        <c:lblOffset val="100"/>
        <c:tickLblSkip val="1"/>
        <c:tickMarkSkip val="1"/>
      </c:catAx>
      <c:valAx>
        <c:axId val="313078528"/>
        <c:scaling>
          <c:orientation val="minMax"/>
          <c:max val="1.2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85E-2"/>
              <c:y val="0.265665558793995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32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7604096"/>
        <c:axId val="497670016"/>
      </c:barChart>
      <c:catAx>
        <c:axId val="497604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670016"/>
        <c:crossesAt val="0"/>
        <c:lblAlgn val="ctr"/>
        <c:lblOffset val="100"/>
        <c:tickLblSkip val="1"/>
        <c:tickMarkSkip val="1"/>
      </c:catAx>
      <c:valAx>
        <c:axId val="497670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604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382400"/>
        <c:axId val="483383936"/>
      </c:barChart>
      <c:catAx>
        <c:axId val="483382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83936"/>
        <c:crossesAt val="0"/>
        <c:lblAlgn val="ctr"/>
        <c:lblOffset val="100"/>
        <c:tickLblSkip val="1"/>
        <c:tickMarkSkip val="1"/>
      </c:catAx>
      <c:valAx>
        <c:axId val="483383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82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655040"/>
        <c:axId val="483656832"/>
      </c:barChart>
      <c:catAx>
        <c:axId val="48365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656832"/>
        <c:crossesAt val="0"/>
        <c:lblAlgn val="ctr"/>
        <c:lblOffset val="100"/>
        <c:tickLblSkip val="1"/>
        <c:tickMarkSkip val="1"/>
      </c:catAx>
      <c:valAx>
        <c:axId val="483656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65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673216"/>
        <c:axId val="483674752"/>
      </c:barChart>
      <c:catAx>
        <c:axId val="483673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674752"/>
        <c:crossesAt val="0"/>
        <c:lblAlgn val="ctr"/>
        <c:lblOffset val="100"/>
        <c:tickLblSkip val="1"/>
        <c:tickMarkSkip val="1"/>
      </c:catAx>
      <c:valAx>
        <c:axId val="483674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673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716096"/>
        <c:axId val="483738368"/>
      </c:barChart>
      <c:catAx>
        <c:axId val="483716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738368"/>
        <c:crossesAt val="0"/>
        <c:lblAlgn val="ctr"/>
        <c:lblOffset val="100"/>
        <c:tickLblSkip val="1"/>
        <c:tickMarkSkip val="1"/>
      </c:catAx>
      <c:valAx>
        <c:axId val="483738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716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911168"/>
        <c:axId val="483912704"/>
      </c:barChart>
      <c:catAx>
        <c:axId val="483911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12704"/>
        <c:crossesAt val="0"/>
        <c:lblAlgn val="ctr"/>
        <c:lblOffset val="100"/>
        <c:tickLblSkip val="1"/>
        <c:tickMarkSkip val="1"/>
      </c:catAx>
      <c:valAx>
        <c:axId val="483912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11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942400"/>
        <c:axId val="483943936"/>
      </c:barChart>
      <c:catAx>
        <c:axId val="483942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43936"/>
        <c:crossesAt val="0"/>
        <c:lblAlgn val="ctr"/>
        <c:lblOffset val="100"/>
        <c:tickLblSkip val="1"/>
        <c:tickMarkSkip val="1"/>
      </c:catAx>
      <c:valAx>
        <c:axId val="483943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42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3981568"/>
        <c:axId val="483991552"/>
      </c:barChart>
      <c:catAx>
        <c:axId val="483981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91552"/>
        <c:crossesAt val="0"/>
        <c:lblAlgn val="ctr"/>
        <c:lblOffset val="100"/>
        <c:tickLblSkip val="1"/>
        <c:tickMarkSkip val="1"/>
      </c:catAx>
      <c:valAx>
        <c:axId val="483991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981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4630912"/>
        <c:axId val="484632448"/>
      </c:barChart>
      <c:scatterChart>
        <c:scatterStyle val="lineMarker"/>
        <c:ser>
          <c:idx val="1"/>
          <c:order val="1"/>
          <c:tx>
            <c:strRef>
              <c:f>'#4-32D'!$BG$3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4630912"/>
        <c:axId val="484632448"/>
      </c:scatterChart>
      <c:catAx>
        <c:axId val="484630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632448"/>
        <c:crossesAt val="0"/>
        <c:lblAlgn val="ctr"/>
        <c:lblOffset val="100"/>
        <c:tickLblSkip val="1"/>
        <c:tickMarkSkip val="1"/>
      </c:catAx>
      <c:valAx>
        <c:axId val="484632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3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6309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4968320"/>
        <c:axId val="484969856"/>
      </c:barChart>
      <c:scatterChart>
        <c:scatterStyle val="lineMarker"/>
        <c:ser>
          <c:idx val="1"/>
          <c:order val="1"/>
          <c:tx>
            <c:strRef>
              <c:f>'#4-32D'!$BP$3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4968320"/>
        <c:axId val="484969856"/>
      </c:scatterChart>
      <c:catAx>
        <c:axId val="484968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969856"/>
        <c:crossesAt val="0"/>
        <c:lblAlgn val="ctr"/>
        <c:lblOffset val="100"/>
        <c:tickLblSkip val="1"/>
        <c:tickMarkSkip val="1"/>
      </c:catAx>
      <c:valAx>
        <c:axId val="484969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968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5561856"/>
        <c:axId val="485563392"/>
      </c:barChart>
      <c:scatterChart>
        <c:scatterStyle val="lineMarker"/>
        <c:ser>
          <c:idx val="1"/>
          <c:order val="1"/>
          <c:tx>
            <c:strRef>
              <c:f>'#4-32D'!$BW$3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5561856"/>
        <c:axId val="485563392"/>
      </c:scatterChart>
      <c:catAx>
        <c:axId val="48556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5563392"/>
        <c:crossesAt val="0"/>
        <c:lblAlgn val="ctr"/>
        <c:lblOffset val="100"/>
        <c:tickLblSkip val="1"/>
        <c:tickMarkSkip val="1"/>
      </c:catAx>
      <c:valAx>
        <c:axId val="485563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8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556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342144"/>
        <c:axId val="498458624"/>
      </c:barChart>
      <c:catAx>
        <c:axId val="498342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458624"/>
        <c:crossesAt val="0"/>
        <c:lblAlgn val="ctr"/>
        <c:lblOffset val="100"/>
        <c:tickLblSkip val="1"/>
        <c:tickMarkSkip val="1"/>
      </c:catAx>
      <c:valAx>
        <c:axId val="498458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342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6304768"/>
        <c:axId val="486331136"/>
      </c:barChart>
      <c:scatterChart>
        <c:scatterStyle val="lineMarker"/>
        <c:ser>
          <c:idx val="1"/>
          <c:order val="1"/>
          <c:tx>
            <c:strRef>
              <c:f>'#4-32D'!$CK$3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6304768"/>
        <c:axId val="486331136"/>
      </c:scatterChart>
      <c:catAx>
        <c:axId val="486304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6331136"/>
        <c:crossesAt val="0"/>
        <c:lblAlgn val="ctr"/>
        <c:lblOffset val="100"/>
        <c:tickLblSkip val="1"/>
        <c:tickMarkSkip val="1"/>
      </c:catAx>
      <c:valAx>
        <c:axId val="486331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6304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6996224"/>
        <c:axId val="486998016"/>
      </c:barChart>
      <c:scatterChart>
        <c:scatterStyle val="lineMarker"/>
        <c:ser>
          <c:idx val="1"/>
          <c:order val="1"/>
          <c:tx>
            <c:strRef>
              <c:f>'#4-32D'!$CR$3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6996224"/>
        <c:axId val="486998016"/>
      </c:scatterChart>
      <c:catAx>
        <c:axId val="486996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6998016"/>
        <c:crossesAt val="0"/>
        <c:lblAlgn val="ctr"/>
        <c:lblOffset val="100"/>
        <c:tickLblSkip val="1"/>
        <c:tickMarkSkip val="1"/>
      </c:catAx>
      <c:valAx>
        <c:axId val="486998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2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6996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'#4-32D'!$CU$1:$CX$1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7707392"/>
        <c:axId val="487708928"/>
      </c:barChart>
      <c:scatterChart>
        <c:scatterStyle val="lineMarker"/>
        <c:ser>
          <c:idx val="1"/>
          <c:order val="1"/>
          <c:tx>
            <c:strRef>
              <c:f>'#4-32D'!$CY$3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'#4-32D'!$CY$4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7707392"/>
        <c:axId val="487708928"/>
      </c:scatterChart>
      <c:catAx>
        <c:axId val="487707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708928"/>
        <c:crossesAt val="0"/>
        <c:lblAlgn val="ctr"/>
        <c:lblOffset val="100"/>
        <c:tickLblSkip val="1"/>
        <c:tickMarkSkip val="1"/>
      </c:catAx>
      <c:valAx>
        <c:axId val="487708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210526382446933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707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7762944"/>
        <c:axId val="487887616"/>
      </c:barChart>
      <c:catAx>
        <c:axId val="48776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887616"/>
        <c:crossesAt val="0"/>
        <c:lblAlgn val="ctr"/>
        <c:lblOffset val="100"/>
        <c:tickLblSkip val="1"/>
        <c:tickMarkSkip val="1"/>
      </c:catAx>
      <c:valAx>
        <c:axId val="487887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76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7917056"/>
        <c:axId val="487918592"/>
      </c:barChart>
      <c:catAx>
        <c:axId val="487917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8592"/>
        <c:crossesAt val="0"/>
        <c:lblAlgn val="ctr"/>
        <c:lblOffset val="100"/>
        <c:tickLblSkip val="1"/>
        <c:tickMarkSkip val="1"/>
      </c:catAx>
      <c:valAx>
        <c:axId val="487918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917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099840"/>
        <c:axId val="488101376"/>
      </c:barChart>
      <c:catAx>
        <c:axId val="488099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101376"/>
        <c:crossesAt val="0"/>
        <c:lblAlgn val="ctr"/>
        <c:lblOffset val="100"/>
        <c:tickLblSkip val="1"/>
        <c:tickMarkSkip val="1"/>
      </c:catAx>
      <c:valAx>
        <c:axId val="4881013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099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273792"/>
        <c:axId val="488275328"/>
      </c:barChart>
      <c:catAx>
        <c:axId val="488273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275328"/>
        <c:crossesAt val="0"/>
        <c:lblAlgn val="ctr"/>
        <c:lblOffset val="100"/>
        <c:tickLblSkip val="1"/>
        <c:tickMarkSkip val="1"/>
      </c:catAx>
      <c:valAx>
        <c:axId val="488275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273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317312"/>
        <c:axId val="488318848"/>
      </c:barChart>
      <c:catAx>
        <c:axId val="488317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318848"/>
        <c:crossesAt val="0"/>
        <c:lblAlgn val="ctr"/>
        <c:lblOffset val="100"/>
        <c:tickLblSkip val="1"/>
        <c:tickMarkSkip val="1"/>
      </c:catAx>
      <c:valAx>
        <c:axId val="488318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317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421632"/>
        <c:axId val="488427520"/>
      </c:barChart>
      <c:catAx>
        <c:axId val="488421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427520"/>
        <c:crossesAt val="0"/>
        <c:lblAlgn val="ctr"/>
        <c:lblOffset val="100"/>
        <c:tickLblSkip val="1"/>
        <c:tickMarkSkip val="1"/>
      </c:catAx>
      <c:valAx>
        <c:axId val="488427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421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551168"/>
        <c:axId val="488552704"/>
      </c:barChart>
      <c:catAx>
        <c:axId val="488551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552704"/>
        <c:crossesAt val="0"/>
        <c:lblAlgn val="ctr"/>
        <c:lblOffset val="100"/>
        <c:tickLblSkip val="1"/>
        <c:tickMarkSkip val="1"/>
      </c:catAx>
      <c:valAx>
        <c:axId val="488552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551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650496"/>
        <c:axId val="498961408"/>
      </c:barChart>
      <c:catAx>
        <c:axId val="498650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961408"/>
        <c:crossesAt val="0"/>
        <c:lblAlgn val="ctr"/>
        <c:lblOffset val="100"/>
        <c:tickLblSkip val="1"/>
        <c:tickMarkSkip val="1"/>
      </c:catAx>
      <c:valAx>
        <c:axId val="498961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650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705024"/>
        <c:axId val="488706816"/>
      </c:barChart>
      <c:catAx>
        <c:axId val="488705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706816"/>
        <c:crossesAt val="0"/>
        <c:lblAlgn val="ctr"/>
        <c:lblOffset val="100"/>
        <c:tickLblSkip val="1"/>
        <c:tickMarkSkip val="1"/>
      </c:catAx>
      <c:valAx>
        <c:axId val="488706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705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731776"/>
        <c:axId val="488733312"/>
      </c:barChart>
      <c:catAx>
        <c:axId val="488731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733312"/>
        <c:crossesAt val="0"/>
        <c:lblAlgn val="ctr"/>
        <c:lblOffset val="100"/>
        <c:tickLblSkip val="1"/>
        <c:tickMarkSkip val="1"/>
      </c:catAx>
      <c:valAx>
        <c:axId val="488733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731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775040"/>
        <c:axId val="488842368"/>
      </c:barChart>
      <c:catAx>
        <c:axId val="48877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842368"/>
        <c:crossesAt val="0"/>
        <c:lblAlgn val="ctr"/>
        <c:lblOffset val="100"/>
        <c:tickLblSkip val="1"/>
        <c:tickMarkSkip val="1"/>
      </c:catAx>
      <c:valAx>
        <c:axId val="488842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77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871808"/>
        <c:axId val="488873344"/>
      </c:barChart>
      <c:catAx>
        <c:axId val="488871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873344"/>
        <c:crossesAt val="0"/>
        <c:lblAlgn val="ctr"/>
        <c:lblOffset val="100"/>
        <c:tickLblSkip val="1"/>
        <c:tickMarkSkip val="1"/>
      </c:catAx>
      <c:valAx>
        <c:axId val="488873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871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8919424"/>
        <c:axId val="488920960"/>
      </c:barChart>
      <c:catAx>
        <c:axId val="488919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920960"/>
        <c:crossesAt val="0"/>
        <c:lblAlgn val="ctr"/>
        <c:lblOffset val="100"/>
        <c:tickLblSkip val="1"/>
        <c:tickMarkSkip val="1"/>
      </c:catAx>
      <c:valAx>
        <c:axId val="488920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8919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9340288"/>
        <c:axId val="489354368"/>
      </c:barChart>
      <c:catAx>
        <c:axId val="489340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354368"/>
        <c:crossesAt val="0"/>
        <c:lblAlgn val="ctr"/>
        <c:lblOffset val="100"/>
        <c:tickLblSkip val="1"/>
        <c:tickMarkSkip val="1"/>
      </c:catAx>
      <c:valAx>
        <c:axId val="48935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340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9523072"/>
        <c:axId val="489524608"/>
      </c:barChart>
      <c:catAx>
        <c:axId val="489523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524608"/>
        <c:crossesAt val="0"/>
        <c:lblAlgn val="ctr"/>
        <c:lblOffset val="100"/>
        <c:tickLblSkip val="1"/>
        <c:tickMarkSkip val="1"/>
      </c:catAx>
      <c:valAx>
        <c:axId val="489524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523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9664896"/>
        <c:axId val="489666432"/>
      </c:barChart>
      <c:catAx>
        <c:axId val="489664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666432"/>
        <c:crossesAt val="0"/>
        <c:lblAlgn val="ctr"/>
        <c:lblOffset val="100"/>
        <c:tickLblSkip val="1"/>
        <c:tickMarkSkip val="1"/>
      </c:catAx>
      <c:valAx>
        <c:axId val="489666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664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9773696"/>
        <c:axId val="489873792"/>
      </c:barChart>
      <c:catAx>
        <c:axId val="489773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873792"/>
        <c:crossesAt val="0"/>
        <c:lblAlgn val="ctr"/>
        <c:lblOffset val="100"/>
        <c:tickLblSkip val="1"/>
        <c:tickMarkSkip val="1"/>
      </c:catAx>
      <c:valAx>
        <c:axId val="4898737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773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013824"/>
        <c:axId val="490015360"/>
      </c:barChart>
      <c:catAx>
        <c:axId val="49001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015360"/>
        <c:crossesAt val="0"/>
        <c:lblAlgn val="ctr"/>
        <c:lblOffset val="100"/>
        <c:tickLblSkip val="1"/>
        <c:tickMarkSkip val="1"/>
      </c:catAx>
      <c:valAx>
        <c:axId val="490015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01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471488"/>
        <c:axId val="499473024"/>
      </c:barChart>
      <c:catAx>
        <c:axId val="499471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473024"/>
        <c:crossesAt val="0"/>
        <c:lblAlgn val="ctr"/>
        <c:lblOffset val="100"/>
        <c:tickLblSkip val="1"/>
        <c:tickMarkSkip val="1"/>
      </c:catAx>
      <c:valAx>
        <c:axId val="499473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100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471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056704"/>
        <c:axId val="490083072"/>
      </c:barChart>
      <c:catAx>
        <c:axId val="490056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083072"/>
        <c:crossesAt val="0"/>
        <c:lblAlgn val="ctr"/>
        <c:lblOffset val="100"/>
        <c:tickLblSkip val="1"/>
        <c:tickMarkSkip val="1"/>
      </c:catAx>
      <c:valAx>
        <c:axId val="490083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056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194432"/>
        <c:axId val="490195968"/>
      </c:barChart>
      <c:catAx>
        <c:axId val="490194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195968"/>
        <c:crossesAt val="0"/>
        <c:lblAlgn val="ctr"/>
        <c:lblOffset val="100"/>
        <c:tickLblSkip val="1"/>
        <c:tickMarkSkip val="1"/>
      </c:catAx>
      <c:valAx>
        <c:axId val="490195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194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303488"/>
        <c:axId val="490305024"/>
      </c:barChart>
      <c:catAx>
        <c:axId val="490303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305024"/>
        <c:crossesAt val="0"/>
        <c:lblAlgn val="ctr"/>
        <c:lblOffset val="100"/>
        <c:tickLblSkip val="1"/>
        <c:tickMarkSkip val="1"/>
      </c:catAx>
      <c:valAx>
        <c:axId val="490305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303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350848"/>
        <c:axId val="490364928"/>
      </c:barChart>
      <c:catAx>
        <c:axId val="490350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364928"/>
        <c:crossesAt val="0"/>
        <c:lblAlgn val="ctr"/>
        <c:lblOffset val="100"/>
        <c:tickLblSkip val="1"/>
        <c:tickMarkSkip val="1"/>
      </c:catAx>
      <c:valAx>
        <c:axId val="49036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350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402560"/>
        <c:axId val="490404096"/>
      </c:barChart>
      <c:catAx>
        <c:axId val="490402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404096"/>
        <c:crossesAt val="0"/>
        <c:lblAlgn val="ctr"/>
        <c:lblOffset val="100"/>
        <c:tickLblSkip val="1"/>
        <c:tickMarkSkip val="1"/>
      </c:catAx>
      <c:valAx>
        <c:axId val="490404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402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531840"/>
        <c:axId val="490545920"/>
      </c:barChart>
      <c:catAx>
        <c:axId val="490531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545920"/>
        <c:crossesAt val="0"/>
        <c:lblAlgn val="ctr"/>
        <c:lblOffset val="100"/>
        <c:tickLblSkip val="1"/>
        <c:tickMarkSkip val="1"/>
      </c:catAx>
      <c:valAx>
        <c:axId val="4905459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531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587264"/>
        <c:axId val="490588800"/>
      </c:barChart>
      <c:catAx>
        <c:axId val="490587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588800"/>
        <c:crossesAt val="0"/>
        <c:lblAlgn val="ctr"/>
        <c:lblOffset val="100"/>
        <c:tickLblSkip val="1"/>
        <c:tickMarkSkip val="1"/>
      </c:catAx>
      <c:valAx>
        <c:axId val="490588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587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720640"/>
        <c:axId val="490722432"/>
      </c:barChart>
      <c:catAx>
        <c:axId val="490720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722432"/>
        <c:crossesAt val="0"/>
        <c:lblAlgn val="ctr"/>
        <c:lblOffset val="100"/>
        <c:tickLblSkip val="1"/>
        <c:tickMarkSkip val="1"/>
      </c:catAx>
      <c:valAx>
        <c:axId val="490722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720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882944"/>
        <c:axId val="490884480"/>
      </c:barChart>
      <c:catAx>
        <c:axId val="49088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884480"/>
        <c:crossesAt val="0"/>
        <c:lblAlgn val="ctr"/>
        <c:lblOffset val="100"/>
        <c:tickLblSkip val="1"/>
        <c:tickMarkSkip val="1"/>
      </c:catAx>
      <c:valAx>
        <c:axId val="490884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88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930560"/>
        <c:axId val="490932096"/>
      </c:barChart>
      <c:catAx>
        <c:axId val="490930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932096"/>
        <c:crossesAt val="0"/>
        <c:lblAlgn val="ctr"/>
        <c:lblOffset val="100"/>
        <c:tickLblSkip val="1"/>
        <c:tickMarkSkip val="1"/>
      </c:catAx>
      <c:valAx>
        <c:axId val="490932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930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599040"/>
        <c:axId val="500740096"/>
      </c:barChart>
      <c:catAx>
        <c:axId val="500599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740096"/>
        <c:crossesAt val="0"/>
        <c:lblAlgn val="ctr"/>
        <c:lblOffset val="100"/>
        <c:tickLblSkip val="1"/>
        <c:tickMarkSkip val="1"/>
      </c:catAx>
      <c:valAx>
        <c:axId val="500740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599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0973824"/>
        <c:axId val="491098496"/>
      </c:barChart>
      <c:catAx>
        <c:axId val="49097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098496"/>
        <c:crossesAt val="0"/>
        <c:lblAlgn val="ctr"/>
        <c:lblOffset val="100"/>
        <c:tickLblSkip val="1"/>
        <c:tickMarkSkip val="1"/>
      </c:catAx>
      <c:valAx>
        <c:axId val="491098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97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127936"/>
        <c:axId val="491129472"/>
      </c:barChart>
      <c:catAx>
        <c:axId val="491127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29472"/>
        <c:crossesAt val="0"/>
        <c:lblAlgn val="ctr"/>
        <c:lblOffset val="100"/>
        <c:tickLblSkip val="1"/>
        <c:tickMarkSkip val="1"/>
      </c:catAx>
      <c:valAx>
        <c:axId val="491129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27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158528"/>
        <c:axId val="491176704"/>
      </c:barChart>
      <c:catAx>
        <c:axId val="491158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76704"/>
        <c:crossesAt val="0"/>
        <c:lblAlgn val="ctr"/>
        <c:lblOffset val="100"/>
        <c:tickLblSkip val="1"/>
        <c:tickMarkSkip val="1"/>
      </c:catAx>
      <c:valAx>
        <c:axId val="491176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158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210240"/>
        <c:axId val="491211776"/>
      </c:barChart>
      <c:catAx>
        <c:axId val="491210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211776"/>
        <c:crossesAt val="0"/>
        <c:lblAlgn val="ctr"/>
        <c:lblOffset val="100"/>
        <c:tickLblSkip val="1"/>
        <c:tickMarkSkip val="1"/>
      </c:catAx>
      <c:valAx>
        <c:axId val="4912117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210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410176"/>
        <c:axId val="491411712"/>
      </c:barChart>
      <c:catAx>
        <c:axId val="491410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11712"/>
        <c:crossesAt val="0"/>
        <c:lblAlgn val="ctr"/>
        <c:lblOffset val="100"/>
        <c:tickLblSkip val="1"/>
        <c:tickMarkSkip val="1"/>
      </c:catAx>
      <c:valAx>
        <c:axId val="4914117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10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432960"/>
        <c:axId val="491442944"/>
      </c:barChart>
      <c:catAx>
        <c:axId val="491432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42944"/>
        <c:crossesAt val="0"/>
        <c:lblAlgn val="ctr"/>
        <c:lblOffset val="100"/>
        <c:tickLblSkip val="1"/>
        <c:tickMarkSkip val="1"/>
      </c:catAx>
      <c:valAx>
        <c:axId val="491442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32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484672"/>
        <c:axId val="491486208"/>
      </c:barChart>
      <c:catAx>
        <c:axId val="491484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86208"/>
        <c:crossesAt val="0"/>
        <c:lblAlgn val="ctr"/>
        <c:lblOffset val="100"/>
        <c:tickLblSkip val="1"/>
        <c:tickMarkSkip val="1"/>
      </c:catAx>
      <c:valAx>
        <c:axId val="491486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84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532288"/>
        <c:axId val="491533824"/>
      </c:barChart>
      <c:catAx>
        <c:axId val="491532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533824"/>
        <c:crossesAt val="0"/>
        <c:lblAlgn val="ctr"/>
        <c:lblOffset val="100"/>
        <c:tickLblSkip val="1"/>
        <c:tickMarkSkip val="1"/>
      </c:catAx>
      <c:valAx>
        <c:axId val="491533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532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582976"/>
        <c:axId val="491584512"/>
      </c:barChart>
      <c:catAx>
        <c:axId val="491582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584512"/>
        <c:crossesAt val="0"/>
        <c:lblAlgn val="ctr"/>
        <c:lblOffset val="100"/>
        <c:tickLblSkip val="1"/>
        <c:tickMarkSkip val="1"/>
      </c:catAx>
      <c:valAx>
        <c:axId val="491584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582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606016"/>
        <c:axId val="491607552"/>
      </c:barChart>
      <c:catAx>
        <c:axId val="491606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607552"/>
        <c:crossesAt val="0"/>
        <c:lblAlgn val="ctr"/>
        <c:lblOffset val="100"/>
        <c:tickLblSkip val="1"/>
        <c:tickMarkSkip val="1"/>
      </c:catAx>
      <c:valAx>
        <c:axId val="491607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606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1393664"/>
        <c:axId val="501526528"/>
      </c:barChart>
      <c:catAx>
        <c:axId val="501393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526528"/>
        <c:crossesAt val="0"/>
        <c:lblAlgn val="ctr"/>
        <c:lblOffset val="100"/>
        <c:tickLblSkip val="1"/>
        <c:tickMarkSkip val="1"/>
      </c:catAx>
      <c:valAx>
        <c:axId val="501526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393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661568"/>
        <c:axId val="491679744"/>
      </c:barChart>
      <c:catAx>
        <c:axId val="491661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679744"/>
        <c:crossesAt val="0"/>
        <c:lblAlgn val="ctr"/>
        <c:lblOffset val="100"/>
        <c:tickLblSkip val="1"/>
        <c:tickMarkSkip val="1"/>
      </c:catAx>
      <c:valAx>
        <c:axId val="491679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661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717760"/>
        <c:axId val="491719296"/>
      </c:barChart>
      <c:catAx>
        <c:axId val="491717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19296"/>
        <c:crossesAt val="0"/>
        <c:lblAlgn val="ctr"/>
        <c:lblOffset val="100"/>
        <c:tickLblSkip val="1"/>
        <c:tickMarkSkip val="1"/>
      </c:catAx>
      <c:valAx>
        <c:axId val="491719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17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744640"/>
        <c:axId val="491750528"/>
      </c:barChart>
      <c:catAx>
        <c:axId val="491744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50528"/>
        <c:crossesAt val="0"/>
        <c:lblAlgn val="ctr"/>
        <c:lblOffset val="100"/>
        <c:tickLblSkip val="1"/>
        <c:tickMarkSkip val="1"/>
      </c:catAx>
      <c:valAx>
        <c:axId val="491750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44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771776"/>
        <c:axId val="491773312"/>
      </c:barChart>
      <c:catAx>
        <c:axId val="491771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73312"/>
        <c:crossesAt val="0"/>
        <c:lblAlgn val="ctr"/>
        <c:lblOffset val="100"/>
        <c:tickLblSkip val="1"/>
        <c:tickMarkSkip val="1"/>
      </c:catAx>
      <c:valAx>
        <c:axId val="491773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771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937792"/>
        <c:axId val="491939328"/>
      </c:barChart>
      <c:catAx>
        <c:axId val="491937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39328"/>
        <c:crossesAt val="0"/>
        <c:lblAlgn val="ctr"/>
        <c:lblOffset val="100"/>
        <c:tickLblSkip val="1"/>
        <c:tickMarkSkip val="1"/>
      </c:catAx>
      <c:valAx>
        <c:axId val="491939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37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985152"/>
        <c:axId val="491986944"/>
      </c:barChart>
      <c:catAx>
        <c:axId val="491985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86944"/>
        <c:crossesAt val="0"/>
        <c:lblAlgn val="ctr"/>
        <c:lblOffset val="100"/>
        <c:tickLblSkip val="1"/>
        <c:tickMarkSkip val="1"/>
      </c:catAx>
      <c:valAx>
        <c:axId val="491986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985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019712"/>
        <c:axId val="492021248"/>
      </c:barChart>
      <c:catAx>
        <c:axId val="492019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021248"/>
        <c:crossesAt val="0"/>
        <c:lblAlgn val="ctr"/>
        <c:lblOffset val="100"/>
        <c:tickLblSkip val="1"/>
        <c:tickMarkSkip val="1"/>
      </c:catAx>
      <c:valAx>
        <c:axId val="492021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019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050304"/>
        <c:axId val="492051840"/>
      </c:barChart>
      <c:catAx>
        <c:axId val="492050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051840"/>
        <c:crossesAt val="0"/>
        <c:lblAlgn val="ctr"/>
        <c:lblOffset val="100"/>
        <c:tickLblSkip val="1"/>
        <c:tickMarkSkip val="1"/>
      </c:catAx>
      <c:valAx>
        <c:axId val="492051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050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274048"/>
        <c:axId val="492275584"/>
      </c:barChart>
      <c:catAx>
        <c:axId val="492274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275584"/>
        <c:crossesAt val="0"/>
        <c:lblAlgn val="ctr"/>
        <c:lblOffset val="100"/>
        <c:tickLblSkip val="1"/>
        <c:tickMarkSkip val="1"/>
      </c:catAx>
      <c:valAx>
        <c:axId val="49227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274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444288"/>
        <c:axId val="492454272"/>
      </c:barChart>
      <c:catAx>
        <c:axId val="492444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454272"/>
        <c:crossesAt val="0"/>
        <c:lblAlgn val="ctr"/>
        <c:lblOffset val="100"/>
        <c:tickLblSkip val="1"/>
        <c:tickMarkSkip val="1"/>
      </c:catAx>
      <c:valAx>
        <c:axId val="492454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444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2247808"/>
        <c:axId val="502249344"/>
      </c:barChart>
      <c:catAx>
        <c:axId val="502247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249344"/>
        <c:crossesAt val="0"/>
        <c:lblAlgn val="ctr"/>
        <c:lblOffset val="100"/>
        <c:tickLblSkip val="1"/>
        <c:tickMarkSkip val="1"/>
      </c:catAx>
      <c:valAx>
        <c:axId val="502249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369186862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247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2606592"/>
        <c:axId val="492608128"/>
      </c:barChart>
      <c:catAx>
        <c:axId val="492606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608128"/>
        <c:crossesAt val="0"/>
        <c:lblAlgn val="ctr"/>
        <c:lblOffset val="100"/>
        <c:tickLblSkip val="1"/>
        <c:tickMarkSkip val="1"/>
      </c:catAx>
      <c:valAx>
        <c:axId val="4926081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26065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3333504"/>
        <c:axId val="493339392"/>
      </c:barChart>
      <c:scatterChart>
        <c:scatterStyle val="lineMarker"/>
        <c:ser>
          <c:idx val="1"/>
          <c:order val="1"/>
          <c:tx>
            <c:strRef>
              <c:f>'#5-32D'!$BG$3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3333504"/>
        <c:axId val="493339392"/>
      </c:scatterChart>
      <c:catAx>
        <c:axId val="493333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339392"/>
        <c:crossesAt val="0"/>
        <c:lblAlgn val="ctr"/>
        <c:lblOffset val="100"/>
        <c:tickLblSkip val="1"/>
        <c:tickMarkSkip val="1"/>
      </c:catAx>
      <c:valAx>
        <c:axId val="493339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3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333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3810432"/>
        <c:axId val="493811968"/>
      </c:barChart>
      <c:scatterChart>
        <c:scatterStyle val="lineMarker"/>
        <c:ser>
          <c:idx val="1"/>
          <c:order val="1"/>
          <c:tx>
            <c:strRef>
              <c:f>'#5-32D'!$BP$3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3810432"/>
        <c:axId val="493811968"/>
      </c:scatterChart>
      <c:catAx>
        <c:axId val="493810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811968"/>
        <c:crossesAt val="0"/>
        <c:lblAlgn val="ctr"/>
        <c:lblOffset val="100"/>
        <c:tickLblSkip val="1"/>
        <c:tickMarkSkip val="1"/>
      </c:catAx>
      <c:valAx>
        <c:axId val="493811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381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4309760"/>
        <c:axId val="494311296"/>
      </c:barChart>
      <c:scatterChart>
        <c:scatterStyle val="lineMarker"/>
        <c:ser>
          <c:idx val="1"/>
          <c:order val="1"/>
          <c:tx>
            <c:strRef>
              <c:f>'#5-32D'!$BW$3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4309760"/>
        <c:axId val="494311296"/>
      </c:scatterChart>
      <c:catAx>
        <c:axId val="494309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311296"/>
        <c:crossesAt val="0"/>
        <c:lblAlgn val="ctr"/>
        <c:lblOffset val="100"/>
        <c:tickLblSkip val="1"/>
        <c:tickMarkSkip val="1"/>
      </c:catAx>
      <c:valAx>
        <c:axId val="494311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8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309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4819200"/>
        <c:axId val="494820736"/>
      </c:barChart>
      <c:scatterChart>
        <c:scatterStyle val="lineMarker"/>
        <c:ser>
          <c:idx val="1"/>
          <c:order val="1"/>
          <c:tx>
            <c:strRef>
              <c:f>'#5-32D'!$CK$3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4819200"/>
        <c:axId val="494820736"/>
      </c:scatterChart>
      <c:catAx>
        <c:axId val="494819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820736"/>
        <c:crossesAt val="0"/>
        <c:lblAlgn val="ctr"/>
        <c:lblOffset val="100"/>
        <c:tickLblSkip val="1"/>
        <c:tickMarkSkip val="1"/>
      </c:catAx>
      <c:valAx>
        <c:axId val="494820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4819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5256704"/>
        <c:axId val="495258240"/>
      </c:barChart>
      <c:scatterChart>
        <c:scatterStyle val="lineMarker"/>
        <c:ser>
          <c:idx val="1"/>
          <c:order val="1"/>
          <c:tx>
            <c:strRef>
              <c:f>'#5-32D'!$CR$3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5256704"/>
        <c:axId val="495258240"/>
      </c:scatterChart>
      <c:catAx>
        <c:axId val="495256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258240"/>
        <c:crossesAt val="0"/>
        <c:lblAlgn val="ctr"/>
        <c:lblOffset val="100"/>
        <c:tickLblSkip val="1"/>
        <c:tickMarkSkip val="1"/>
      </c:catAx>
      <c:valAx>
        <c:axId val="495258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2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256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'#5-32D'!$CU$1:$CX$1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5623552"/>
        <c:axId val="495658112"/>
      </c:barChart>
      <c:scatterChart>
        <c:scatterStyle val="lineMarker"/>
        <c:ser>
          <c:idx val="1"/>
          <c:order val="1"/>
          <c:tx>
            <c:strRef>
              <c:f>'#5-32D'!$CY$3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'#5-32D'!$CY$4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95623552"/>
        <c:axId val="495658112"/>
      </c:scatterChart>
      <c:catAx>
        <c:axId val="495623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658112"/>
        <c:crossesAt val="0"/>
        <c:lblAlgn val="ctr"/>
        <c:lblOffset val="100"/>
        <c:tickLblSkip val="1"/>
        <c:tickMarkSkip val="1"/>
      </c:catAx>
      <c:valAx>
        <c:axId val="495658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210526382446933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62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5818624"/>
        <c:axId val="495820160"/>
      </c:barChart>
      <c:catAx>
        <c:axId val="495818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820160"/>
        <c:crossesAt val="0"/>
        <c:lblAlgn val="ctr"/>
        <c:lblOffset val="100"/>
        <c:tickLblSkip val="1"/>
        <c:tickMarkSkip val="1"/>
      </c:catAx>
      <c:valAx>
        <c:axId val="495820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818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5882624"/>
        <c:axId val="495884160"/>
      </c:barChart>
      <c:catAx>
        <c:axId val="495882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884160"/>
        <c:crossesAt val="0"/>
        <c:lblAlgn val="ctr"/>
        <c:lblOffset val="100"/>
        <c:tickLblSkip val="1"/>
        <c:tickMarkSkip val="1"/>
      </c:catAx>
      <c:valAx>
        <c:axId val="495884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5882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007808"/>
        <c:axId val="496066944"/>
      </c:barChart>
      <c:catAx>
        <c:axId val="496007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066944"/>
        <c:crossesAt val="0"/>
        <c:lblAlgn val="ctr"/>
        <c:lblOffset val="100"/>
        <c:tickLblSkip val="1"/>
        <c:tickMarkSkip val="1"/>
      </c:catAx>
      <c:valAx>
        <c:axId val="496066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007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2823552"/>
        <c:axId val="502862208"/>
      </c:barChart>
      <c:catAx>
        <c:axId val="502823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862208"/>
        <c:crossesAt val="0"/>
        <c:lblAlgn val="ctr"/>
        <c:lblOffset val="100"/>
        <c:tickLblSkip val="1"/>
        <c:tickMarkSkip val="1"/>
      </c:catAx>
      <c:valAx>
        <c:axId val="502862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82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153344"/>
        <c:axId val="496154880"/>
      </c:barChart>
      <c:catAx>
        <c:axId val="496153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154880"/>
        <c:crossesAt val="0"/>
        <c:lblAlgn val="ctr"/>
        <c:lblOffset val="100"/>
        <c:tickLblSkip val="1"/>
        <c:tickMarkSkip val="1"/>
      </c:catAx>
      <c:valAx>
        <c:axId val="496154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153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286720"/>
        <c:axId val="496366336"/>
      </c:barChart>
      <c:catAx>
        <c:axId val="496286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366336"/>
        <c:crossesAt val="0"/>
        <c:lblAlgn val="ctr"/>
        <c:lblOffset val="100"/>
        <c:tickLblSkip val="1"/>
        <c:tickMarkSkip val="1"/>
      </c:catAx>
      <c:valAx>
        <c:axId val="496366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28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403584"/>
        <c:axId val="496405120"/>
      </c:barChart>
      <c:catAx>
        <c:axId val="496403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405120"/>
        <c:crossesAt val="0"/>
        <c:lblAlgn val="ctr"/>
        <c:lblOffset val="100"/>
        <c:tickLblSkip val="1"/>
        <c:tickMarkSkip val="1"/>
      </c:catAx>
      <c:valAx>
        <c:axId val="496405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4035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561536"/>
        <c:axId val="496583808"/>
      </c:barChart>
      <c:catAx>
        <c:axId val="496561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583808"/>
        <c:crossesAt val="0"/>
        <c:lblAlgn val="ctr"/>
        <c:lblOffset val="100"/>
        <c:tickLblSkip val="1"/>
        <c:tickMarkSkip val="1"/>
      </c:catAx>
      <c:valAx>
        <c:axId val="496583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561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609152"/>
        <c:axId val="496610688"/>
      </c:barChart>
      <c:catAx>
        <c:axId val="496609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610688"/>
        <c:crossesAt val="0"/>
        <c:lblAlgn val="ctr"/>
        <c:lblOffset val="100"/>
        <c:tickLblSkip val="1"/>
        <c:tickMarkSkip val="1"/>
      </c:catAx>
      <c:valAx>
        <c:axId val="496610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60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857088"/>
        <c:axId val="496858624"/>
      </c:barChart>
      <c:catAx>
        <c:axId val="496857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858624"/>
        <c:crossesAt val="0"/>
        <c:lblAlgn val="ctr"/>
        <c:lblOffset val="100"/>
        <c:tickLblSkip val="1"/>
        <c:tickMarkSkip val="1"/>
      </c:catAx>
      <c:valAx>
        <c:axId val="496858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857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879872"/>
        <c:axId val="496889856"/>
      </c:barChart>
      <c:catAx>
        <c:axId val="496879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889856"/>
        <c:crossesAt val="0"/>
        <c:lblAlgn val="ctr"/>
        <c:lblOffset val="100"/>
        <c:tickLblSkip val="1"/>
        <c:tickMarkSkip val="1"/>
      </c:catAx>
      <c:valAx>
        <c:axId val="496889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879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6964352"/>
        <c:axId val="496965888"/>
      </c:barChart>
      <c:catAx>
        <c:axId val="496964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965888"/>
        <c:crossesAt val="0"/>
        <c:lblAlgn val="ctr"/>
        <c:lblOffset val="100"/>
        <c:tickLblSkip val="1"/>
        <c:tickMarkSkip val="1"/>
      </c:catAx>
      <c:valAx>
        <c:axId val="496965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6964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7167360"/>
        <c:axId val="497181440"/>
      </c:barChart>
      <c:catAx>
        <c:axId val="497167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181440"/>
        <c:crossesAt val="0"/>
        <c:lblAlgn val="ctr"/>
        <c:lblOffset val="100"/>
        <c:tickLblSkip val="1"/>
        <c:tickMarkSkip val="1"/>
      </c:catAx>
      <c:valAx>
        <c:axId val="497181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167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7772800"/>
        <c:axId val="497778688"/>
      </c:barChart>
      <c:catAx>
        <c:axId val="497772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778688"/>
        <c:crossesAt val="0"/>
        <c:lblAlgn val="ctr"/>
        <c:lblOffset val="100"/>
        <c:tickLblSkip val="1"/>
        <c:tickMarkSkip val="1"/>
      </c:catAx>
      <c:valAx>
        <c:axId val="497778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772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3876608"/>
        <c:axId val="503901184"/>
      </c:barChart>
      <c:catAx>
        <c:axId val="503876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3901184"/>
        <c:crossesAt val="0"/>
        <c:lblAlgn val="ctr"/>
        <c:lblOffset val="100"/>
        <c:tickLblSkip val="1"/>
        <c:tickMarkSkip val="1"/>
      </c:catAx>
      <c:valAx>
        <c:axId val="503901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3876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7976064"/>
        <c:axId val="497977600"/>
      </c:barChart>
      <c:catAx>
        <c:axId val="497976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977600"/>
        <c:crossesAt val="0"/>
        <c:lblAlgn val="ctr"/>
        <c:lblOffset val="100"/>
        <c:tickLblSkip val="1"/>
        <c:tickMarkSkip val="1"/>
      </c:catAx>
      <c:valAx>
        <c:axId val="497977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7976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011136"/>
        <c:axId val="498021120"/>
      </c:barChart>
      <c:catAx>
        <c:axId val="4980111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021120"/>
        <c:crossesAt val="0"/>
        <c:lblAlgn val="ctr"/>
        <c:lblOffset val="100"/>
        <c:tickLblSkip val="1"/>
        <c:tickMarkSkip val="1"/>
      </c:catAx>
      <c:valAx>
        <c:axId val="498021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0111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181632"/>
        <c:axId val="498183168"/>
      </c:barChart>
      <c:catAx>
        <c:axId val="498181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183168"/>
        <c:crossesAt val="0"/>
        <c:lblAlgn val="ctr"/>
        <c:lblOffset val="100"/>
        <c:tickLblSkip val="1"/>
        <c:tickMarkSkip val="1"/>
      </c:catAx>
      <c:valAx>
        <c:axId val="498183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181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233344"/>
        <c:axId val="498234880"/>
      </c:barChart>
      <c:catAx>
        <c:axId val="498233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234880"/>
        <c:crossesAt val="0"/>
        <c:lblAlgn val="ctr"/>
        <c:lblOffset val="100"/>
        <c:tickLblSkip val="1"/>
        <c:tickMarkSkip val="1"/>
      </c:catAx>
      <c:valAx>
        <c:axId val="498234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233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272128"/>
        <c:axId val="498273664"/>
      </c:barChart>
      <c:catAx>
        <c:axId val="498272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273664"/>
        <c:crossesAt val="0"/>
        <c:lblAlgn val="ctr"/>
        <c:lblOffset val="100"/>
        <c:tickLblSkip val="1"/>
        <c:tickMarkSkip val="1"/>
      </c:catAx>
      <c:valAx>
        <c:axId val="498273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272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360704"/>
        <c:axId val="498362240"/>
      </c:barChart>
      <c:catAx>
        <c:axId val="498360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362240"/>
        <c:crossesAt val="0"/>
        <c:lblAlgn val="ctr"/>
        <c:lblOffset val="100"/>
        <c:tickLblSkip val="1"/>
        <c:tickMarkSkip val="1"/>
      </c:catAx>
      <c:valAx>
        <c:axId val="498362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360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416256"/>
        <c:axId val="498418048"/>
      </c:barChart>
      <c:catAx>
        <c:axId val="498416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418048"/>
        <c:crossesAt val="0"/>
        <c:lblAlgn val="ctr"/>
        <c:lblOffset val="100"/>
        <c:tickLblSkip val="1"/>
        <c:tickMarkSkip val="1"/>
      </c:catAx>
      <c:valAx>
        <c:axId val="498418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416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443392"/>
        <c:axId val="498444928"/>
      </c:barChart>
      <c:catAx>
        <c:axId val="498443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444928"/>
        <c:crossesAt val="0"/>
        <c:lblAlgn val="ctr"/>
        <c:lblOffset val="100"/>
        <c:tickLblSkip val="1"/>
        <c:tickMarkSkip val="1"/>
      </c:catAx>
      <c:valAx>
        <c:axId val="49844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443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511232"/>
        <c:axId val="498513024"/>
      </c:barChart>
      <c:catAx>
        <c:axId val="498511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513024"/>
        <c:crossesAt val="0"/>
        <c:lblAlgn val="ctr"/>
        <c:lblOffset val="100"/>
        <c:tickLblSkip val="1"/>
        <c:tickMarkSkip val="1"/>
      </c:catAx>
      <c:valAx>
        <c:axId val="498513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511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550656"/>
        <c:axId val="498552192"/>
      </c:barChart>
      <c:catAx>
        <c:axId val="498550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552192"/>
        <c:crossesAt val="0"/>
        <c:lblAlgn val="ctr"/>
        <c:lblOffset val="100"/>
        <c:tickLblSkip val="1"/>
        <c:tickMarkSkip val="1"/>
      </c:catAx>
      <c:valAx>
        <c:axId val="498552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550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129216"/>
        <c:axId val="505257984"/>
      </c:barChart>
      <c:catAx>
        <c:axId val="505129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257984"/>
        <c:crossesAt val="0"/>
        <c:lblAlgn val="ctr"/>
        <c:lblOffset val="100"/>
        <c:tickLblSkip val="1"/>
        <c:tickMarkSkip val="1"/>
      </c:catAx>
      <c:valAx>
        <c:axId val="505257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100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129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601984"/>
        <c:axId val="498603520"/>
      </c:barChart>
      <c:catAx>
        <c:axId val="498601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603520"/>
        <c:crossesAt val="0"/>
        <c:lblAlgn val="ctr"/>
        <c:lblOffset val="100"/>
        <c:tickLblSkip val="1"/>
        <c:tickMarkSkip val="1"/>
      </c:catAx>
      <c:valAx>
        <c:axId val="498603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601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645248"/>
        <c:axId val="498688000"/>
      </c:barChart>
      <c:catAx>
        <c:axId val="498645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688000"/>
        <c:crossesAt val="0"/>
        <c:lblAlgn val="ctr"/>
        <c:lblOffset val="100"/>
        <c:tickLblSkip val="1"/>
        <c:tickMarkSkip val="1"/>
      </c:catAx>
      <c:valAx>
        <c:axId val="498688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645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717440"/>
        <c:axId val="498718976"/>
      </c:barChart>
      <c:catAx>
        <c:axId val="498717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718976"/>
        <c:crossesAt val="0"/>
        <c:lblAlgn val="ctr"/>
        <c:lblOffset val="100"/>
        <c:tickLblSkip val="1"/>
        <c:tickMarkSkip val="1"/>
      </c:catAx>
      <c:valAx>
        <c:axId val="498718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717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772992"/>
        <c:axId val="498774784"/>
      </c:barChart>
      <c:catAx>
        <c:axId val="498772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774784"/>
        <c:crossesAt val="0"/>
        <c:lblAlgn val="ctr"/>
        <c:lblOffset val="100"/>
        <c:tickLblSkip val="1"/>
        <c:tickMarkSkip val="1"/>
      </c:catAx>
      <c:valAx>
        <c:axId val="498774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772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8824704"/>
        <c:axId val="498826240"/>
      </c:barChart>
      <c:catAx>
        <c:axId val="498824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826240"/>
        <c:crossesAt val="0"/>
        <c:lblAlgn val="ctr"/>
        <c:lblOffset val="100"/>
        <c:tickLblSkip val="1"/>
        <c:tickMarkSkip val="1"/>
      </c:catAx>
      <c:valAx>
        <c:axId val="498826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8824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007488"/>
        <c:axId val="499009024"/>
      </c:barChart>
      <c:catAx>
        <c:axId val="499007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009024"/>
        <c:crossesAt val="0"/>
        <c:lblAlgn val="ctr"/>
        <c:lblOffset val="100"/>
        <c:tickLblSkip val="1"/>
        <c:tickMarkSkip val="1"/>
      </c:catAx>
      <c:valAx>
        <c:axId val="499009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007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050368"/>
        <c:axId val="499051904"/>
      </c:barChart>
      <c:catAx>
        <c:axId val="49905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051904"/>
        <c:crossesAt val="0"/>
        <c:lblAlgn val="ctr"/>
        <c:lblOffset val="100"/>
        <c:tickLblSkip val="1"/>
        <c:tickMarkSkip val="1"/>
      </c:catAx>
      <c:valAx>
        <c:axId val="499051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05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122560"/>
        <c:axId val="499124096"/>
      </c:barChart>
      <c:catAx>
        <c:axId val="499122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124096"/>
        <c:crossesAt val="0"/>
        <c:lblAlgn val="ctr"/>
        <c:lblOffset val="100"/>
        <c:tickLblSkip val="1"/>
        <c:tickMarkSkip val="1"/>
      </c:catAx>
      <c:valAx>
        <c:axId val="499124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122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187072"/>
        <c:axId val="499197056"/>
      </c:barChart>
      <c:catAx>
        <c:axId val="499187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197056"/>
        <c:crossesAt val="0"/>
        <c:lblAlgn val="ctr"/>
        <c:lblOffset val="100"/>
        <c:tickLblSkip val="1"/>
        <c:tickMarkSkip val="1"/>
      </c:catAx>
      <c:valAx>
        <c:axId val="499197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187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353472"/>
        <c:axId val="499355008"/>
      </c:barChart>
      <c:catAx>
        <c:axId val="499353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355008"/>
        <c:crossesAt val="0"/>
        <c:lblAlgn val="ctr"/>
        <c:lblOffset val="100"/>
        <c:tickLblSkip val="1"/>
        <c:tickMarkSkip val="1"/>
      </c:catAx>
      <c:valAx>
        <c:axId val="4993550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353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'Cohort-32D'!$BL$33:$BO$33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'Cohort-32D'!$BL$34:$BO$34</c:f>
              <c:numCache>
                <c:formatCode>0.0</c:formatCode>
                <c:ptCount val="4"/>
                <c:pt idx="0">
                  <c:v>25.510132109090907</c:v>
                </c:pt>
                <c:pt idx="1">
                  <c:v>8.0499643458092685</c:v>
                </c:pt>
                <c:pt idx="2">
                  <c:v>62.223429978626235</c:v>
                </c:pt>
                <c:pt idx="3">
                  <c:v>1.9267895791583167</c:v>
                </c:pt>
              </c:numCache>
            </c:numRef>
          </c:val>
        </c:ser>
        <c:gapWidth val="50"/>
        <c:axId val="471684608"/>
        <c:axId val="471686144"/>
      </c:barChart>
      <c:scatterChart>
        <c:scatterStyle val="lineMarker"/>
        <c:ser>
          <c:idx val="1"/>
          <c:order val="1"/>
          <c:tx>
            <c:strRef>
              <c:f>'Cohort-32D'!$BG$3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'Cohort-32D'!$BL$3:$BO$3</c:f>
              <c:numCache>
                <c:formatCode>0.0</c:formatCode>
                <c:ptCount val="4"/>
                <c:pt idx="0">
                  <c:v>25.352252359999998</c:v>
                </c:pt>
                <c:pt idx="1">
                  <c:v>7.5759693846923462</c:v>
                </c:pt>
                <c:pt idx="2">
                  <c:v>62.095715861654739</c:v>
                </c:pt>
                <c:pt idx="3">
                  <c:v>2.7517600641539697</c:v>
                </c:pt>
              </c:numCache>
            </c:numRef>
          </c:yVal>
        </c:ser>
        <c:ser>
          <c:idx val="2"/>
          <c:order val="2"/>
          <c:tx>
            <c:strRef>
              <c:f>'Cohort-32D'!$BG$4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'Cohort-32D'!$BL$4:$BO$4</c:f>
              <c:numCache>
                <c:formatCode>0.0</c:formatCode>
                <c:ptCount val="4"/>
                <c:pt idx="0">
                  <c:v>25.510132109090907</c:v>
                </c:pt>
                <c:pt idx="1">
                  <c:v>8.0499643458092685</c:v>
                </c:pt>
                <c:pt idx="2">
                  <c:v>62.223429978626235</c:v>
                </c:pt>
                <c:pt idx="3">
                  <c:v>1.4426860135688502</c:v>
                </c:pt>
              </c:numCache>
            </c:numRef>
          </c:yVal>
        </c:ser>
        <c:ser>
          <c:idx val="3"/>
          <c:order val="3"/>
          <c:tx>
            <c:strRef>
              <c:f>'Cohort-32D'!$BG$5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'Cohort-32D'!$BL$5:$BO$5</c:f>
              <c:numCache>
                <c:formatCode>0.0</c:formatCode>
                <c:ptCount val="4"/>
                <c:pt idx="0">
                  <c:v>27.768536000000001</c:v>
                </c:pt>
                <c:pt idx="1">
                  <c:v>9.4624132066033013</c:v>
                </c:pt>
                <c:pt idx="2">
                  <c:v>66.344238238238248</c:v>
                </c:pt>
                <c:pt idx="3">
                  <c:v>1.9267895791583167</c:v>
                </c:pt>
              </c:numCache>
            </c:numRef>
          </c:yVal>
        </c:ser>
        <c:ser>
          <c:idx val="4"/>
          <c:order val="4"/>
          <c:tx>
            <c:strRef>
              <c:f>'Cohort-32D'!$BG$6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'Cohort-32D'!$BL$6:$BO$6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'Cohort-32D'!$BG$7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'Cohort-32D'!$BL$7:$BO$7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'Cohort-32D'!$BG$8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'Cohort-32D'!$BL$8:$BO$8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'Cohort-32D'!$BL$9:$BO$9</c:f>
              <c:numCache>
                <c:formatCode>0.0</c:formatCode>
                <c:ptCount val="4"/>
              </c:numCache>
            </c:numRef>
          </c:yVal>
        </c:ser>
        <c:ser>
          <c:idx val="8"/>
          <c:order val="8"/>
          <c:tx>
            <c:strRef>
              <c:f>'Cohort-32D'!$BG$10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'Cohort-32D'!$BL$10:$BO$10</c:f>
              <c:numCache>
                <c:formatCode>0.0</c:formatCode>
                <c:ptCount val="4"/>
              </c:numCache>
            </c:numRef>
          </c:yVal>
        </c:ser>
        <c:axId val="471684608"/>
        <c:axId val="471686144"/>
      </c:scatterChart>
      <c:catAx>
        <c:axId val="471684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686144"/>
        <c:crossesAt val="0"/>
        <c:lblAlgn val="ctr"/>
        <c:lblOffset val="100"/>
        <c:tickLblSkip val="1"/>
        <c:tickMarkSkip val="1"/>
      </c:catAx>
      <c:valAx>
        <c:axId val="471686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74E-2"/>
              <c:y val="0.1367891423820690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1684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6014336"/>
        <c:axId val="506126720"/>
      </c:barChart>
      <c:catAx>
        <c:axId val="506014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6126720"/>
        <c:crossesAt val="0"/>
        <c:lblAlgn val="ctr"/>
        <c:lblOffset val="100"/>
        <c:tickLblSkip val="1"/>
        <c:tickMarkSkip val="1"/>
      </c:catAx>
      <c:valAx>
        <c:axId val="506126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601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425664"/>
        <c:axId val="499427200"/>
      </c:barChart>
      <c:catAx>
        <c:axId val="499425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427200"/>
        <c:crossesAt val="0"/>
        <c:lblAlgn val="ctr"/>
        <c:lblOffset val="100"/>
        <c:tickLblSkip val="1"/>
        <c:tickMarkSkip val="1"/>
      </c:catAx>
      <c:valAx>
        <c:axId val="4994272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425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460736"/>
        <c:axId val="499519872"/>
      </c:barChart>
      <c:catAx>
        <c:axId val="499460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519872"/>
        <c:crossesAt val="0"/>
        <c:lblAlgn val="ctr"/>
        <c:lblOffset val="100"/>
        <c:tickLblSkip val="1"/>
        <c:tickMarkSkip val="1"/>
      </c:catAx>
      <c:valAx>
        <c:axId val="499519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460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626368"/>
        <c:axId val="499627904"/>
      </c:barChart>
      <c:catAx>
        <c:axId val="499626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627904"/>
        <c:crossesAt val="0"/>
        <c:lblAlgn val="ctr"/>
        <c:lblOffset val="100"/>
        <c:tickLblSkip val="1"/>
        <c:tickMarkSkip val="1"/>
      </c:catAx>
      <c:valAx>
        <c:axId val="499627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626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690112"/>
        <c:axId val="499691904"/>
      </c:barChart>
      <c:catAx>
        <c:axId val="499690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691904"/>
        <c:crossesAt val="0"/>
        <c:lblAlgn val="ctr"/>
        <c:lblOffset val="100"/>
        <c:tickLblSkip val="1"/>
        <c:tickMarkSkip val="1"/>
      </c:catAx>
      <c:valAx>
        <c:axId val="499691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690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733632"/>
        <c:axId val="499735168"/>
      </c:barChart>
      <c:catAx>
        <c:axId val="499733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735168"/>
        <c:crossesAt val="0"/>
        <c:lblAlgn val="ctr"/>
        <c:lblOffset val="100"/>
        <c:tickLblSkip val="1"/>
        <c:tickMarkSkip val="1"/>
      </c:catAx>
      <c:valAx>
        <c:axId val="499735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733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781632"/>
        <c:axId val="499783168"/>
      </c:barChart>
      <c:catAx>
        <c:axId val="499781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783168"/>
        <c:crossesAt val="0"/>
        <c:lblAlgn val="ctr"/>
        <c:lblOffset val="100"/>
        <c:tickLblSkip val="1"/>
        <c:tickMarkSkip val="1"/>
      </c:catAx>
      <c:valAx>
        <c:axId val="499783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781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9955968"/>
        <c:axId val="499957760"/>
      </c:barChart>
      <c:catAx>
        <c:axId val="499955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957760"/>
        <c:crossesAt val="0"/>
        <c:lblAlgn val="ctr"/>
        <c:lblOffset val="100"/>
        <c:tickLblSkip val="1"/>
        <c:tickMarkSkip val="1"/>
      </c:catAx>
      <c:valAx>
        <c:axId val="499957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995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024064"/>
        <c:axId val="500025600"/>
      </c:barChart>
      <c:catAx>
        <c:axId val="500024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025600"/>
        <c:crossesAt val="0"/>
        <c:lblAlgn val="ctr"/>
        <c:lblOffset val="100"/>
        <c:tickLblSkip val="1"/>
        <c:tickMarkSkip val="1"/>
      </c:catAx>
      <c:valAx>
        <c:axId val="500025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024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263552"/>
        <c:axId val="500269440"/>
      </c:barChart>
      <c:catAx>
        <c:axId val="500263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269440"/>
        <c:crossesAt val="0"/>
        <c:lblAlgn val="ctr"/>
        <c:lblOffset val="100"/>
        <c:tickLblSkip val="1"/>
        <c:tickMarkSkip val="1"/>
      </c:catAx>
      <c:valAx>
        <c:axId val="500269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26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368512"/>
        <c:axId val="500370048"/>
      </c:barChart>
      <c:catAx>
        <c:axId val="500368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370048"/>
        <c:crossesAt val="0"/>
        <c:lblAlgn val="ctr"/>
        <c:lblOffset val="100"/>
        <c:tickLblSkip val="1"/>
        <c:tickMarkSkip val="1"/>
      </c:catAx>
      <c:valAx>
        <c:axId val="500370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368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6730368"/>
        <c:axId val="506742656"/>
      </c:barChart>
      <c:catAx>
        <c:axId val="50673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6742656"/>
        <c:crossesAt val="0"/>
        <c:lblAlgn val="ctr"/>
        <c:lblOffset val="100"/>
        <c:tickLblSkip val="1"/>
        <c:tickMarkSkip val="1"/>
      </c:catAx>
      <c:valAx>
        <c:axId val="506742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673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632192"/>
        <c:axId val="500638080"/>
      </c:barChart>
      <c:catAx>
        <c:axId val="500632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638080"/>
        <c:crossesAt val="0"/>
        <c:lblAlgn val="ctr"/>
        <c:lblOffset val="100"/>
        <c:tickLblSkip val="1"/>
        <c:tickMarkSkip val="1"/>
      </c:catAx>
      <c:valAx>
        <c:axId val="500638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632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679424"/>
        <c:axId val="500680960"/>
      </c:barChart>
      <c:catAx>
        <c:axId val="500679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680960"/>
        <c:crossesAt val="0"/>
        <c:lblAlgn val="ctr"/>
        <c:lblOffset val="100"/>
        <c:tickLblSkip val="1"/>
        <c:tickMarkSkip val="1"/>
      </c:catAx>
      <c:valAx>
        <c:axId val="500680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679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857856"/>
        <c:axId val="500859648"/>
      </c:barChart>
      <c:catAx>
        <c:axId val="500857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859648"/>
        <c:crossesAt val="0"/>
        <c:lblAlgn val="ctr"/>
        <c:lblOffset val="100"/>
        <c:tickLblSkip val="1"/>
        <c:tickMarkSkip val="1"/>
      </c:catAx>
      <c:valAx>
        <c:axId val="500859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857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0962816"/>
        <c:axId val="500964352"/>
      </c:barChart>
      <c:catAx>
        <c:axId val="500962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964352"/>
        <c:crossesAt val="0"/>
        <c:lblAlgn val="ctr"/>
        <c:lblOffset val="100"/>
        <c:tickLblSkip val="1"/>
        <c:tickMarkSkip val="1"/>
      </c:catAx>
      <c:valAx>
        <c:axId val="500964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0962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1035008"/>
        <c:axId val="501036544"/>
      </c:barChart>
      <c:catAx>
        <c:axId val="501035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036544"/>
        <c:crossesAt val="0"/>
        <c:lblAlgn val="ctr"/>
        <c:lblOffset val="100"/>
        <c:tickLblSkip val="1"/>
        <c:tickMarkSkip val="1"/>
      </c:catAx>
      <c:valAx>
        <c:axId val="501036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035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1708672"/>
        <c:axId val="501710208"/>
      </c:barChart>
      <c:scatterChart>
        <c:scatterStyle val="lineMarker"/>
        <c:ser>
          <c:idx val="1"/>
          <c:order val="1"/>
          <c:tx>
            <c:strRef>
              <c:f>'#6-32D'!$BG$3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1708672"/>
        <c:axId val="501710208"/>
      </c:scatterChart>
      <c:catAx>
        <c:axId val="501708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710208"/>
        <c:crossesAt val="0"/>
        <c:lblAlgn val="ctr"/>
        <c:lblOffset val="100"/>
        <c:tickLblSkip val="1"/>
        <c:tickMarkSkip val="1"/>
      </c:catAx>
      <c:valAx>
        <c:axId val="501710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1708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2287744"/>
        <c:axId val="502322304"/>
      </c:barChart>
      <c:scatterChart>
        <c:scatterStyle val="lineMarker"/>
        <c:ser>
          <c:idx val="1"/>
          <c:order val="1"/>
          <c:tx>
            <c:strRef>
              <c:f>'#6-32D'!$BP$3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2287744"/>
        <c:axId val="502322304"/>
      </c:scatterChart>
      <c:catAx>
        <c:axId val="502287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322304"/>
        <c:crossesAt val="0"/>
        <c:lblAlgn val="ctr"/>
        <c:lblOffset val="100"/>
        <c:tickLblSkip val="1"/>
        <c:tickMarkSkip val="1"/>
      </c:catAx>
      <c:valAx>
        <c:axId val="502322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28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2987776"/>
        <c:axId val="502989568"/>
      </c:barChart>
      <c:scatterChart>
        <c:scatterStyle val="lineMarker"/>
        <c:ser>
          <c:idx val="1"/>
          <c:order val="1"/>
          <c:tx>
            <c:strRef>
              <c:f>'#6-32D'!$BW$3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2987776"/>
        <c:axId val="502989568"/>
      </c:scatterChart>
      <c:catAx>
        <c:axId val="502987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989568"/>
        <c:crossesAt val="0"/>
        <c:lblAlgn val="ctr"/>
        <c:lblOffset val="100"/>
        <c:tickLblSkip val="1"/>
        <c:tickMarkSkip val="1"/>
      </c:catAx>
      <c:valAx>
        <c:axId val="5029895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4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2987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3689984"/>
        <c:axId val="503691520"/>
      </c:barChart>
      <c:scatterChart>
        <c:scatterStyle val="lineMarker"/>
        <c:ser>
          <c:idx val="1"/>
          <c:order val="1"/>
          <c:tx>
            <c:strRef>
              <c:f>'#6-32D'!$CK$3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3689984"/>
        <c:axId val="503691520"/>
      </c:scatterChart>
      <c:catAx>
        <c:axId val="503689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3691520"/>
        <c:crossesAt val="0"/>
        <c:lblAlgn val="ctr"/>
        <c:lblOffset val="100"/>
        <c:tickLblSkip val="1"/>
        <c:tickMarkSkip val="1"/>
      </c:catAx>
      <c:valAx>
        <c:axId val="503691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3689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254464"/>
        <c:axId val="504256000"/>
      </c:barChart>
      <c:scatterChart>
        <c:scatterStyle val="lineMarker"/>
        <c:ser>
          <c:idx val="1"/>
          <c:order val="1"/>
          <c:tx>
            <c:strRef>
              <c:f>'#6-32D'!$CR$3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4254464"/>
        <c:axId val="504256000"/>
      </c:scatterChart>
      <c:catAx>
        <c:axId val="504254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256000"/>
        <c:crossesAt val="0"/>
        <c:lblAlgn val="ctr"/>
        <c:lblOffset val="100"/>
        <c:tickLblSkip val="1"/>
        <c:tickMarkSkip val="1"/>
      </c:catAx>
      <c:valAx>
        <c:axId val="504256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06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254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7876096"/>
        <c:axId val="507877632"/>
      </c:barChart>
      <c:catAx>
        <c:axId val="507876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77632"/>
        <c:crossesAt val="0"/>
        <c:lblAlgn val="ctr"/>
        <c:lblOffset val="100"/>
        <c:tickLblSkip val="1"/>
        <c:tickMarkSkip val="1"/>
      </c:catAx>
      <c:valAx>
        <c:axId val="507877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369186862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876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'#6-32D'!$CU$1:$CX$1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674560"/>
        <c:axId val="504717312"/>
      </c:barChart>
      <c:scatterChart>
        <c:scatterStyle val="lineMarker"/>
        <c:ser>
          <c:idx val="1"/>
          <c:order val="1"/>
          <c:tx>
            <c:strRef>
              <c:f>'#6-32D'!$CY$3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'#6-32D'!$CY$4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04674560"/>
        <c:axId val="504717312"/>
      </c:scatterChart>
      <c:catAx>
        <c:axId val="504674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717312"/>
        <c:crossesAt val="0"/>
        <c:lblAlgn val="ctr"/>
        <c:lblOffset val="100"/>
        <c:tickLblSkip val="1"/>
        <c:tickMarkSkip val="1"/>
      </c:catAx>
      <c:valAx>
        <c:axId val="504717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21052638244693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674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771328"/>
        <c:axId val="504772864"/>
      </c:barChart>
      <c:catAx>
        <c:axId val="504771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772864"/>
        <c:crossesAt val="0"/>
        <c:lblAlgn val="ctr"/>
        <c:lblOffset val="100"/>
        <c:tickLblSkip val="1"/>
        <c:tickMarkSkip val="1"/>
      </c:catAx>
      <c:valAx>
        <c:axId val="504772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771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888320"/>
        <c:axId val="504890112"/>
      </c:barChart>
      <c:catAx>
        <c:axId val="504888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890112"/>
        <c:crossesAt val="0"/>
        <c:lblAlgn val="ctr"/>
        <c:lblOffset val="100"/>
        <c:tickLblSkip val="1"/>
        <c:tickMarkSkip val="1"/>
      </c:catAx>
      <c:valAx>
        <c:axId val="504890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888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935936"/>
        <c:axId val="504937472"/>
      </c:barChart>
      <c:catAx>
        <c:axId val="504935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937472"/>
        <c:crossesAt val="0"/>
        <c:lblAlgn val="ctr"/>
        <c:lblOffset val="100"/>
        <c:tickLblSkip val="1"/>
        <c:tickMarkSkip val="1"/>
      </c:catAx>
      <c:valAx>
        <c:axId val="504937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935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4962432"/>
        <c:axId val="504968320"/>
      </c:barChart>
      <c:catAx>
        <c:axId val="504962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968320"/>
        <c:crossesAt val="0"/>
        <c:lblAlgn val="ctr"/>
        <c:lblOffset val="100"/>
        <c:tickLblSkip val="1"/>
        <c:tickMarkSkip val="1"/>
      </c:catAx>
      <c:valAx>
        <c:axId val="5049683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4962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038720"/>
        <c:axId val="505040256"/>
      </c:barChart>
      <c:catAx>
        <c:axId val="505038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40256"/>
        <c:crossesAt val="0"/>
        <c:lblAlgn val="ctr"/>
        <c:lblOffset val="100"/>
        <c:tickLblSkip val="1"/>
        <c:tickMarkSkip val="1"/>
      </c:catAx>
      <c:valAx>
        <c:axId val="505040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038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221120"/>
        <c:axId val="505222656"/>
      </c:barChart>
      <c:catAx>
        <c:axId val="505221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222656"/>
        <c:crossesAt val="0"/>
        <c:lblAlgn val="ctr"/>
        <c:lblOffset val="100"/>
        <c:tickLblSkip val="1"/>
        <c:tickMarkSkip val="1"/>
      </c:catAx>
      <c:valAx>
        <c:axId val="505222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221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268480"/>
        <c:axId val="505319424"/>
      </c:barChart>
      <c:catAx>
        <c:axId val="505268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319424"/>
        <c:crossesAt val="0"/>
        <c:lblAlgn val="ctr"/>
        <c:lblOffset val="100"/>
        <c:tickLblSkip val="1"/>
        <c:tickMarkSkip val="1"/>
      </c:catAx>
      <c:valAx>
        <c:axId val="5053194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268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422592"/>
        <c:axId val="505424128"/>
      </c:barChart>
      <c:catAx>
        <c:axId val="505422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424128"/>
        <c:crossesAt val="0"/>
        <c:lblAlgn val="ctr"/>
        <c:lblOffset val="100"/>
        <c:tickLblSkip val="1"/>
        <c:tickMarkSkip val="1"/>
      </c:catAx>
      <c:valAx>
        <c:axId val="5054241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4225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469568"/>
        <c:axId val="505479552"/>
      </c:barChart>
      <c:catAx>
        <c:axId val="505469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479552"/>
        <c:crossesAt val="0"/>
        <c:lblAlgn val="ctr"/>
        <c:lblOffset val="100"/>
        <c:tickLblSkip val="1"/>
        <c:tickMarkSkip val="1"/>
      </c:catAx>
      <c:valAx>
        <c:axId val="505479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469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'#1-32D'!$BL$71:$BO$71</c:f>
              <c:numCache>
                <c:formatCode>0.0</c:formatCode>
                <c:ptCount val="4"/>
                <c:pt idx="0">
                  <c:v>25.039534719999999</c:v>
                </c:pt>
                <c:pt idx="1">
                  <c:v>7.2714945472736376</c:v>
                </c:pt>
                <c:pt idx="2">
                  <c:v>61.672991360928975</c:v>
                </c:pt>
                <c:pt idx="3">
                  <c:v>2.4015995188452286</c:v>
                </c:pt>
              </c:numCache>
            </c:numRef>
          </c:val>
        </c:ser>
        <c:gapWidth val="50"/>
        <c:axId val="509086720"/>
        <c:axId val="509277312"/>
      </c:barChart>
      <c:catAx>
        <c:axId val="509086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277312"/>
        <c:crossesAt val="0"/>
        <c:lblAlgn val="ctr"/>
        <c:lblOffset val="100"/>
        <c:tickLblSkip val="1"/>
        <c:tickMarkSkip val="1"/>
      </c:catAx>
      <c:valAx>
        <c:axId val="509277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08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525376"/>
        <c:axId val="505526912"/>
      </c:barChart>
      <c:catAx>
        <c:axId val="505525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526912"/>
        <c:crossesAt val="0"/>
        <c:lblAlgn val="ctr"/>
        <c:lblOffset val="100"/>
        <c:tickLblSkip val="1"/>
        <c:tickMarkSkip val="1"/>
      </c:catAx>
      <c:valAx>
        <c:axId val="505526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525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687424"/>
        <c:axId val="505746560"/>
      </c:barChart>
      <c:catAx>
        <c:axId val="505687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746560"/>
        <c:crossesAt val="0"/>
        <c:lblAlgn val="ctr"/>
        <c:lblOffset val="100"/>
        <c:tickLblSkip val="1"/>
        <c:tickMarkSkip val="1"/>
      </c:catAx>
      <c:valAx>
        <c:axId val="505746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687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5776000"/>
        <c:axId val="505777536"/>
      </c:barChart>
      <c:catAx>
        <c:axId val="505776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777536"/>
        <c:crossesAt val="0"/>
        <c:lblAlgn val="ctr"/>
        <c:lblOffset val="100"/>
        <c:tickLblSkip val="1"/>
        <c:tickMarkSkip val="1"/>
      </c:catAx>
      <c:valAx>
        <c:axId val="5057775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5776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'Cohort-439'!$BL$33:$BO$33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'Cohort-439'!$BL$34:$BO$34</c:f>
              <c:numCache>
                <c:formatCode>0.0</c:formatCode>
                <c:ptCount val="4"/>
                <c:pt idx="0">
                  <c:v>28.219432691428572</c:v>
                </c:pt>
                <c:pt idx="1">
                  <c:v>8.2858217651682988</c:v>
                </c:pt>
                <c:pt idx="2">
                  <c:v>77.125044383287758</c:v>
                </c:pt>
                <c:pt idx="3">
                  <c:v>1.4372609318529412</c:v>
                </c:pt>
              </c:numCache>
            </c:numRef>
          </c:val>
        </c:ser>
        <c:gapWidth val="50"/>
        <c:axId val="507050624"/>
        <c:axId val="507052416"/>
      </c:barChart>
      <c:scatterChart>
        <c:scatterStyle val="lineMarker"/>
        <c:ser>
          <c:idx val="1"/>
          <c:order val="1"/>
          <c:tx>
            <c:strRef>
              <c:f>'Cohort-439'!$BG$3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'Cohort-439'!$BL$3:$BO$3</c:f>
              <c:numCache>
                <c:formatCode>0.0</c:formatCode>
                <c:ptCount val="4"/>
                <c:pt idx="0">
                  <c:v>34.294719040000004</c:v>
                </c:pt>
                <c:pt idx="1">
                  <c:v>9.0527536568284148</c:v>
                </c:pt>
                <c:pt idx="2">
                  <c:v>95.930318177722157</c:v>
                </c:pt>
                <c:pt idx="3">
                  <c:v>1.8587501077424204</c:v>
                </c:pt>
              </c:numCache>
            </c:numRef>
          </c:yVal>
        </c:ser>
        <c:ser>
          <c:idx val="2"/>
          <c:order val="2"/>
          <c:tx>
            <c:strRef>
              <c:f>'Cohort-439'!$BG$4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'Cohort-439'!$BL$4:$BO$4</c:f>
              <c:numCache>
                <c:formatCode>0.0</c:formatCode>
                <c:ptCount val="4"/>
                <c:pt idx="0">
                  <c:v>22.144146342857145</c:v>
                </c:pt>
                <c:pt idx="1">
                  <c:v>7.5188898735081828</c:v>
                </c:pt>
                <c:pt idx="2">
                  <c:v>58.319770588853359</c:v>
                </c:pt>
                <c:pt idx="3">
                  <c:v>1.0157717559634623</c:v>
                </c:pt>
              </c:numCache>
            </c:numRef>
          </c:yVal>
        </c:ser>
        <c:ser>
          <c:idx val="3"/>
          <c:order val="3"/>
          <c:tx>
            <c:strRef>
              <c:f>'Cohort-439'!$BG$5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'Cohort-439'!$BL$5:$BO$5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'Cohort-439'!$BG$6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'Cohort-439'!$BL$6:$BO$6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'Cohort-439'!$BG$7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'Cohort-439'!$BL$7:$BO$7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'Cohort-439'!$BG$8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'Cohort-439'!$BL$8:$BO$8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'Cohort-439'!$BL$9:$BO$9</c:f>
              <c:numCache>
                <c:formatCode>0.0</c:formatCode>
                <c:ptCount val="4"/>
              </c:numCache>
            </c:numRef>
          </c:yVal>
        </c:ser>
        <c:ser>
          <c:idx val="8"/>
          <c:order val="8"/>
          <c:tx>
            <c:strRef>
              <c:f>'Cohort-439'!$BG$10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'Cohort-439'!$BL$10:$BO$10</c:f>
              <c:numCache>
                <c:formatCode>0.0</c:formatCode>
                <c:ptCount val="4"/>
              </c:numCache>
            </c:numRef>
          </c:yVal>
        </c:ser>
        <c:axId val="507050624"/>
        <c:axId val="507052416"/>
      </c:scatterChart>
      <c:catAx>
        <c:axId val="507050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052416"/>
        <c:crossesAt val="0"/>
        <c:lblAlgn val="ctr"/>
        <c:lblOffset val="100"/>
        <c:tickLblSkip val="1"/>
        <c:tickMarkSkip val="1"/>
      </c:catAx>
      <c:valAx>
        <c:axId val="5070524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85E-2"/>
              <c:y val="0.136789142382069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050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'Cohort-439'!$BS$1:$BV$1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'Cohort-439'!$BS$34:$BV$34</c:f>
              <c:numCache>
                <c:formatCode>0.00</c:formatCode>
                <c:ptCount val="4"/>
                <c:pt idx="0">
                  <c:v>0.36903967135925042</c:v>
                </c:pt>
                <c:pt idx="1">
                  <c:v>0.11209712103269077</c:v>
                </c:pt>
                <c:pt idx="2">
                  <c:v>1</c:v>
                </c:pt>
                <c:pt idx="3">
                  <c:v>1.868046969315687E-2</c:v>
                </c:pt>
              </c:numCache>
            </c:numRef>
          </c:val>
        </c:ser>
        <c:gapWidth val="50"/>
        <c:axId val="507742848"/>
        <c:axId val="507744640"/>
      </c:barChart>
      <c:scatterChart>
        <c:scatterStyle val="lineMarker"/>
        <c:ser>
          <c:idx val="1"/>
          <c:order val="1"/>
          <c:tx>
            <c:strRef>
              <c:f>'Cohort-439'!$BP$3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'Cohort-439'!$BS$3:$BV$3</c:f>
              <c:numCache>
                <c:formatCode>0.00</c:formatCode>
                <c:ptCount val="4"/>
                <c:pt idx="0">
                  <c:v>0.35749614607203761</c:v>
                </c:pt>
                <c:pt idx="1">
                  <c:v>9.4368014500453623E-2</c:v>
                </c:pt>
                <c:pt idx="2">
                  <c:v>1</c:v>
                </c:pt>
                <c:pt idx="3">
                  <c:v>1.9376044435700381E-2</c:v>
                </c:pt>
              </c:numCache>
            </c:numRef>
          </c:yVal>
        </c:ser>
        <c:ser>
          <c:idx val="2"/>
          <c:order val="2"/>
          <c:tx>
            <c:strRef>
              <c:f>'Cohort-439'!$BP$4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'Cohort-439'!$BS$4:$BV$4</c:f>
              <c:numCache>
                <c:formatCode>0.00</c:formatCode>
                <c:ptCount val="4"/>
                <c:pt idx="0">
                  <c:v>0.38058319664646317</c:v>
                </c:pt>
                <c:pt idx="1">
                  <c:v>0.12982622756492793</c:v>
                </c:pt>
                <c:pt idx="2">
                  <c:v>1</c:v>
                </c:pt>
                <c:pt idx="3">
                  <c:v>1.7984894950613357E-2</c:v>
                </c:pt>
              </c:numCache>
            </c:numRef>
          </c:yVal>
        </c:ser>
        <c:ser>
          <c:idx val="3"/>
          <c:order val="3"/>
          <c:tx>
            <c:strRef>
              <c:f>'Cohort-439'!$BP$5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'Cohort-439'!$BS$5:$BV$5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'Cohort-439'!$BS$6:$BV$6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'Cohort-439'!$BS$7:$BV$7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'Cohort-439'!$BS$8:$BV$8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'Cohort-439'!$BS$9:$BV$9</c:f>
              <c:numCache>
                <c:formatCode>0.00</c:formatCode>
                <c:ptCount val="4"/>
              </c:numCache>
            </c:numRef>
          </c:yVal>
        </c:ser>
        <c:ser>
          <c:idx val="8"/>
          <c:order val="8"/>
          <c:tx>
            <c:strRef>
              <c:f>'Cohort-439'!$BP$10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'Cohort-439'!$BS$10:$BV$10</c:f>
              <c:numCache>
                <c:formatCode>0.00</c:formatCode>
                <c:ptCount val="4"/>
              </c:numCache>
            </c:numRef>
          </c:yVal>
        </c:ser>
        <c:axId val="507742848"/>
        <c:axId val="507744640"/>
      </c:scatterChart>
      <c:catAx>
        <c:axId val="507742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744640"/>
        <c:crossesAt val="0"/>
        <c:lblAlgn val="ctr"/>
        <c:lblOffset val="100"/>
        <c:tickLblSkip val="1"/>
        <c:tickMarkSkip val="1"/>
      </c:catAx>
      <c:valAx>
        <c:axId val="507744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85E-2"/>
              <c:y val="0.265665558793995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7742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'Cohort-439'!$BZ$34:$CC$34</c:f>
              <c:numCache>
                <c:formatCode>0.00</c:formatCode>
                <c:ptCount val="4"/>
                <c:pt idx="1">
                  <c:v>0.6981578879260224</c:v>
                </c:pt>
                <c:pt idx="2">
                  <c:v>0.88790287896730924</c:v>
                </c:pt>
                <c:pt idx="3">
                  <c:v>0.98131953030684316</c:v>
                </c:pt>
              </c:numCache>
            </c:numRef>
          </c:val>
        </c:ser>
        <c:gapWidth val="50"/>
        <c:axId val="508436864"/>
        <c:axId val="508438400"/>
      </c:barChart>
      <c:scatterChart>
        <c:scatterStyle val="lineMarker"/>
        <c:ser>
          <c:idx val="1"/>
          <c:order val="1"/>
          <c:tx>
            <c:strRef>
              <c:f>'Cohort-439'!$BW$3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'Cohort-439'!$BZ$3:$CC$3</c:f>
              <c:numCache>
                <c:formatCode>0.00</c:formatCode>
                <c:ptCount val="4"/>
                <c:pt idx="0">
                  <c:v>0.64250385392796239</c:v>
                </c:pt>
                <c:pt idx="1">
                  <c:v>0.73603068022602425</c:v>
                </c:pt>
                <c:pt idx="2">
                  <c:v>0.90563198549954638</c:v>
                </c:pt>
                <c:pt idx="3">
                  <c:v>0.9806239555642996</c:v>
                </c:pt>
              </c:numCache>
            </c:numRef>
          </c:yVal>
        </c:ser>
        <c:ser>
          <c:idx val="2"/>
          <c:order val="2"/>
          <c:tx>
            <c:strRef>
              <c:f>'Cohort-439'!$BW$4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'Cohort-439'!$BZ$4:$CC$4</c:f>
              <c:numCache>
                <c:formatCode>0.00</c:formatCode>
                <c:ptCount val="4"/>
                <c:pt idx="0">
                  <c:v>0.61941680335353688</c:v>
                </c:pt>
                <c:pt idx="1">
                  <c:v>0.66028509562602067</c:v>
                </c:pt>
                <c:pt idx="2">
                  <c:v>0.8701737724350721</c:v>
                </c:pt>
                <c:pt idx="3">
                  <c:v>0.98201510504938661</c:v>
                </c:pt>
              </c:numCache>
            </c:numRef>
          </c:yVal>
        </c:ser>
        <c:ser>
          <c:idx val="3"/>
          <c:order val="3"/>
          <c:tx>
            <c:strRef>
              <c:f>'Cohort-439'!$BW$5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'Cohort-439'!$BZ$5:$CC$5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'Cohort-439'!$BZ$6:$CC$6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'Cohort-439'!$BZ$7:$CC$7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'Cohort-439'!$CA$8:$CC$8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'Cohort-439'!$CA$9:$CC$9</c:f>
              <c:numCache>
                <c:formatCode>0.00</c:formatCode>
                <c:ptCount val="3"/>
              </c:numCache>
            </c:numRef>
          </c:yVal>
        </c:ser>
        <c:ser>
          <c:idx val="8"/>
          <c:order val="8"/>
          <c:tx>
            <c:strRef>
              <c:f>'Cohort-439'!$BW$8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'Cohort-439'!$CA$8:$CC$8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508436864"/>
        <c:axId val="508438400"/>
      </c:scatterChart>
      <c:catAx>
        <c:axId val="508436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438400"/>
        <c:crossesAt val="0"/>
        <c:lblAlgn val="ctr"/>
        <c:lblOffset val="100"/>
        <c:tickLblSkip val="1"/>
        <c:tickMarkSkip val="1"/>
      </c:catAx>
      <c:valAx>
        <c:axId val="508438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85E-2"/>
              <c:y val="0.253344418411306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43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'Cohort-439'!$CG$1:$CJ$1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'Cohort-439'!$CG$34:$CJ$34</c:f>
              <c:numCache>
                <c:formatCode>0.0</c:formatCode>
                <c:ptCount val="4"/>
                <c:pt idx="0">
                  <c:v>26.782171759575633</c:v>
                </c:pt>
                <c:pt idx="1">
                  <c:v>6.8485608333153571</c:v>
                </c:pt>
                <c:pt idx="2">
                  <c:v>75.687783451434825</c:v>
                </c:pt>
                <c:pt idx="3">
                  <c:v>0</c:v>
                </c:pt>
              </c:numCache>
            </c:numRef>
          </c:val>
        </c:ser>
        <c:gapWidth val="50"/>
        <c:axId val="508810368"/>
        <c:axId val="508811904"/>
      </c:barChart>
      <c:scatterChart>
        <c:scatterStyle val="lineMarker"/>
        <c:ser>
          <c:idx val="1"/>
          <c:order val="1"/>
          <c:tx>
            <c:strRef>
              <c:f>'Cohort-439'!$CK$3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'Cohort-439'!$CG$3:$CJ$3</c:f>
              <c:numCache>
                <c:formatCode>0.00</c:formatCode>
                <c:ptCount val="4"/>
                <c:pt idx="0">
                  <c:v>32.43596893225758</c:v>
                </c:pt>
                <c:pt idx="1">
                  <c:v>7.1940035490859948</c:v>
                </c:pt>
                <c:pt idx="2">
                  <c:v>94.071568069979733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'Cohort-439'!$CK$4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'Cohort-439'!$CG$4:$CI$4</c:f>
              <c:numCache>
                <c:formatCode>0.00</c:formatCode>
                <c:ptCount val="3"/>
                <c:pt idx="0">
                  <c:v>21.128374586893685</c:v>
                </c:pt>
                <c:pt idx="1">
                  <c:v>6.5031181175447204</c:v>
                </c:pt>
                <c:pt idx="2">
                  <c:v>57.303998832889903</c:v>
                </c:pt>
              </c:numCache>
            </c:numRef>
          </c:yVal>
        </c:ser>
        <c:ser>
          <c:idx val="3"/>
          <c:order val="3"/>
          <c:tx>
            <c:strRef>
              <c:f>'Cohort-439'!$CK$5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'Cohort-439'!$CG$5:$CI$5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'Cohort-439'!$CG$6:$CI$6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'Cohort-439'!$CG$7:$CI$7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'Cohort-439'!$CG$8:$CI$8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508810368"/>
        <c:axId val="508811904"/>
      </c:scatterChart>
      <c:catAx>
        <c:axId val="50881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811904"/>
        <c:crossesAt val="0"/>
        <c:lblAlgn val="ctr"/>
        <c:lblOffset val="100"/>
        <c:tickLblSkip val="1"/>
        <c:tickMarkSkip val="1"/>
      </c:catAx>
      <c:valAx>
        <c:axId val="508811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75E-2"/>
              <c:y val="0.1369523938910509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81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'Cohort-439'!$CL$33</c:f>
              <c:strCache>
                <c:ptCount val="1"/>
                <c:pt idx="0">
                  <c:v>FCR (mt:ROX-corr.)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'Cohort-439'!$CN$1:$CQ$1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'Cohort-439'!$CN$34:$CQ$34</c:f>
              <c:numCache>
                <c:formatCode>0.00</c:formatCode>
                <c:ptCount val="4"/>
                <c:pt idx="0">
                  <c:v>0.35707928526121469</c:v>
                </c:pt>
                <c:pt idx="1">
                  <c:v>9.522679747496246E-2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08903424"/>
        <c:axId val="508905344"/>
      </c:barChart>
      <c:scatterChart>
        <c:scatterStyle val="lineMarker"/>
        <c:ser>
          <c:idx val="1"/>
          <c:order val="1"/>
          <c:tx>
            <c:strRef>
              <c:f>'Cohort-439'!$CR$3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'Cohort-439'!$CN$3:$CQ$3</c:f>
              <c:numCache>
                <c:formatCode>0.00</c:formatCode>
                <c:ptCount val="4"/>
                <c:pt idx="0">
                  <c:v>0.3448009807610361</c:v>
                </c:pt>
                <c:pt idx="1">
                  <c:v>7.647372842487736E-2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'Cohort-439'!$CR$4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'Cohort-439'!$CN$4:$CP$4</c:f>
              <c:numCache>
                <c:formatCode>0.00</c:formatCode>
                <c:ptCount val="3"/>
                <c:pt idx="0">
                  <c:v>0.36935758976139332</c:v>
                </c:pt>
                <c:pt idx="1">
                  <c:v>0.11397986652504755</c:v>
                </c:pt>
                <c:pt idx="2">
                  <c:v>1</c:v>
                </c:pt>
              </c:numCache>
            </c:numRef>
          </c:yVal>
        </c:ser>
        <c:ser>
          <c:idx val="3"/>
          <c:order val="3"/>
          <c:tx>
            <c:strRef>
              <c:f>'Cohort-439'!$CR$5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'Cohort-439'!$CN$5:$CP$5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'Cohort-439'!$CR$6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'Cohort-439'!$CN$6:$CP$6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'Cohort-439'!$CR$7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'Cohort-439'!$CN$7:$CP$7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'Cohort-439'!$CR$8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'Cohort-439'!$CN$8:$CP$8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508903424"/>
        <c:axId val="508905344"/>
      </c:scatterChart>
      <c:catAx>
        <c:axId val="508903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905344"/>
        <c:crossesAt val="0"/>
        <c:lblAlgn val="ctr"/>
        <c:lblOffset val="100"/>
        <c:tickLblSkip val="1"/>
        <c:tickMarkSkip val="1"/>
      </c:catAx>
      <c:valAx>
        <c:axId val="508905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75E-2"/>
              <c:y val="0.2221125357653679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8903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'Cohort-439'!$CS$33</c:f>
              <c:strCache>
                <c:ptCount val="1"/>
                <c:pt idx="0">
                  <c:v>FCF(mt: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'Cohort-439'!$CU$1:$CX$1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'Cohort-439'!$CU$34:$CX$34</c:f>
              <c:numCache>
                <c:formatCode>0.00</c:formatCode>
                <c:ptCount val="4"/>
                <c:pt idx="1">
                  <c:v>0.73499113326263965</c:v>
                </c:pt>
                <c:pt idx="2">
                  <c:v>0.90477320252503757</c:v>
                </c:pt>
                <c:pt idx="3">
                  <c:v>1</c:v>
                </c:pt>
              </c:numCache>
            </c:numRef>
          </c:val>
        </c:ser>
        <c:gapWidth val="50"/>
        <c:axId val="509139968"/>
        <c:axId val="509150336"/>
      </c:barChart>
      <c:scatterChart>
        <c:scatterStyle val="lineMarker"/>
        <c:ser>
          <c:idx val="1"/>
          <c:order val="1"/>
          <c:tx>
            <c:strRef>
              <c:f>'Cohort-439'!$CY$3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'Cohort-439'!$CU$3:$CX$3</c:f>
              <c:numCache>
                <c:formatCode>0.00</c:formatCode>
                <c:ptCount val="4"/>
                <c:pt idx="0">
                  <c:v>0.65519901923896384</c:v>
                </c:pt>
                <c:pt idx="1">
                  <c:v>0.77820907511316684</c:v>
                </c:pt>
                <c:pt idx="2">
                  <c:v>0.92352627157512268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'Cohort-439'!$CY$4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'Cohort-439'!$CU$4:$CW$4</c:f>
              <c:numCache>
                <c:formatCode>0.00</c:formatCode>
                <c:ptCount val="3"/>
                <c:pt idx="0">
                  <c:v>0.63064241023860679</c:v>
                </c:pt>
                <c:pt idx="1">
                  <c:v>0.69177319141211246</c:v>
                </c:pt>
                <c:pt idx="2">
                  <c:v>0.88602013347495245</c:v>
                </c:pt>
              </c:numCache>
            </c:numRef>
          </c:yVal>
        </c:ser>
        <c:ser>
          <c:idx val="3"/>
          <c:order val="3"/>
          <c:tx>
            <c:strRef>
              <c:f>'Cohort-439'!$CY$5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'Cohort-439'!$CU$5:$CW$5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'Cohort-439'!$CY$6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'Cohort-439'!$CU$6:$CW$6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'Cohort-439'!$CY$7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'Cohort-439'!$CU$7:$CW$7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'Cohort-439'!$CY$8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'Cohort-439'!$CU$8:$CW$8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509139968"/>
        <c:axId val="509150336"/>
      </c:scatterChart>
      <c:catAx>
        <c:axId val="509139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150336"/>
        <c:crossesAt val="0"/>
        <c:lblAlgn val="ctr"/>
        <c:lblOffset val="100"/>
        <c:tickLblSkip val="1"/>
        <c:tickMarkSkip val="1"/>
      </c:catAx>
      <c:valAx>
        <c:axId val="509150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75E-2"/>
              <c:y val="0.2097969333359580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139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520512"/>
        <c:axId val="509522304"/>
      </c:barChart>
      <c:catAx>
        <c:axId val="509520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22304"/>
        <c:crossesAt val="0"/>
        <c:lblAlgn val="ctr"/>
        <c:lblOffset val="100"/>
        <c:tickLblSkip val="1"/>
        <c:tickMarkSkip val="1"/>
      </c:catAx>
      <c:valAx>
        <c:axId val="509522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520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'#1-32D'!$BS$71:$BV$71</c:f>
              <c:numCache>
                <c:formatCode>0.00</c:formatCode>
                <c:ptCount val="4"/>
                <c:pt idx="0">
                  <c:v>0.40600486805417102</c:v>
                </c:pt>
                <c:pt idx="1">
                  <c:v>0.11790403524808218</c:v>
                </c:pt>
                <c:pt idx="2">
                  <c:v>1</c:v>
                </c:pt>
                <c:pt idx="3">
                  <c:v>3.8940863185804343E-2</c:v>
                </c:pt>
              </c:numCache>
            </c:numRef>
          </c:val>
        </c:ser>
        <c:gapWidth val="50"/>
        <c:axId val="509835520"/>
        <c:axId val="510034304"/>
      </c:barChart>
      <c:catAx>
        <c:axId val="509835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034304"/>
        <c:crossesAt val="0"/>
        <c:lblAlgn val="ctr"/>
        <c:lblOffset val="100"/>
        <c:tickLblSkip val="1"/>
        <c:tickMarkSkip val="1"/>
      </c:catAx>
      <c:valAx>
        <c:axId val="510034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835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662336"/>
        <c:axId val="509663872"/>
      </c:barChart>
      <c:catAx>
        <c:axId val="509662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63872"/>
        <c:crossesAt val="0"/>
        <c:lblAlgn val="ctr"/>
        <c:lblOffset val="100"/>
        <c:tickLblSkip val="1"/>
        <c:tickMarkSkip val="1"/>
      </c:catAx>
      <c:valAx>
        <c:axId val="509663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662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746560"/>
        <c:axId val="509768832"/>
      </c:barChart>
      <c:catAx>
        <c:axId val="509746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68832"/>
        <c:crossesAt val="0"/>
        <c:lblAlgn val="ctr"/>
        <c:lblOffset val="100"/>
        <c:tickLblSkip val="1"/>
        <c:tickMarkSkip val="1"/>
      </c:catAx>
      <c:valAx>
        <c:axId val="509768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746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810560"/>
        <c:axId val="509812096"/>
      </c:barChart>
      <c:catAx>
        <c:axId val="509810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812096"/>
        <c:crossesAt val="0"/>
        <c:lblAlgn val="ctr"/>
        <c:lblOffset val="100"/>
        <c:tickLblSkip val="1"/>
        <c:tickMarkSkip val="1"/>
      </c:catAx>
      <c:valAx>
        <c:axId val="509812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810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915520"/>
        <c:axId val="509917056"/>
      </c:barChart>
      <c:catAx>
        <c:axId val="509915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17056"/>
        <c:crossesAt val="0"/>
        <c:lblAlgn val="ctr"/>
        <c:lblOffset val="100"/>
        <c:tickLblSkip val="1"/>
        <c:tickMarkSkip val="1"/>
      </c:catAx>
      <c:valAx>
        <c:axId val="509917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15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958400"/>
        <c:axId val="509964288"/>
      </c:barChart>
      <c:catAx>
        <c:axId val="509958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64288"/>
        <c:crossesAt val="0"/>
        <c:lblAlgn val="ctr"/>
        <c:lblOffset val="100"/>
        <c:tickLblSkip val="1"/>
        <c:tickMarkSkip val="1"/>
      </c:catAx>
      <c:valAx>
        <c:axId val="509964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58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09985536"/>
        <c:axId val="509987072"/>
      </c:barChart>
      <c:catAx>
        <c:axId val="509985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87072"/>
        <c:crossesAt val="0"/>
        <c:lblAlgn val="ctr"/>
        <c:lblOffset val="100"/>
        <c:tickLblSkip val="1"/>
        <c:tickMarkSkip val="1"/>
      </c:catAx>
      <c:valAx>
        <c:axId val="509987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09985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233600"/>
        <c:axId val="510235392"/>
      </c:barChart>
      <c:catAx>
        <c:axId val="510233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235392"/>
        <c:crossesAt val="0"/>
        <c:lblAlgn val="ctr"/>
        <c:lblOffset val="100"/>
        <c:tickLblSkip val="1"/>
        <c:tickMarkSkip val="1"/>
      </c:catAx>
      <c:valAx>
        <c:axId val="510235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233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277120"/>
        <c:axId val="510278656"/>
      </c:barChart>
      <c:catAx>
        <c:axId val="510277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278656"/>
        <c:crossesAt val="0"/>
        <c:lblAlgn val="ctr"/>
        <c:lblOffset val="100"/>
        <c:tickLblSkip val="1"/>
        <c:tickMarkSkip val="1"/>
      </c:catAx>
      <c:valAx>
        <c:axId val="510278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277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324736"/>
        <c:axId val="510326272"/>
      </c:barChart>
      <c:catAx>
        <c:axId val="510324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26272"/>
        <c:crossesAt val="0"/>
        <c:lblAlgn val="ctr"/>
        <c:lblOffset val="100"/>
        <c:tickLblSkip val="1"/>
        <c:tickMarkSkip val="1"/>
      </c:catAx>
      <c:valAx>
        <c:axId val="510326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24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376192"/>
        <c:axId val="510472192"/>
      </c:barChart>
      <c:catAx>
        <c:axId val="510376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472192"/>
        <c:crossesAt val="0"/>
        <c:lblAlgn val="ctr"/>
        <c:lblOffset val="100"/>
        <c:tickLblSkip val="1"/>
        <c:tickMarkSkip val="1"/>
      </c:catAx>
      <c:valAx>
        <c:axId val="510472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376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'#1-32D'!$BZ$71:$CC$71</c:f>
              <c:numCache>
                <c:formatCode>0.00</c:formatCode>
                <c:ptCount val="4"/>
                <c:pt idx="0">
                  <c:v>0.59399513194582898</c:v>
                </c:pt>
                <c:pt idx="1">
                  <c:v>0.70959945427957072</c:v>
                </c:pt>
                <c:pt idx="2">
                  <c:v>0.88209596475191776</c:v>
                </c:pt>
                <c:pt idx="3">
                  <c:v>0.96105913681419564</c:v>
                </c:pt>
              </c:numCache>
            </c:numRef>
          </c:val>
        </c:ser>
        <c:gapWidth val="50"/>
        <c:axId val="510580992"/>
        <c:axId val="510582784"/>
      </c:barChart>
      <c:catAx>
        <c:axId val="510580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82784"/>
        <c:crossesAt val="0"/>
        <c:lblAlgn val="ctr"/>
        <c:lblOffset val="100"/>
        <c:tickLblSkip val="1"/>
        <c:tickMarkSkip val="1"/>
      </c:catAx>
      <c:valAx>
        <c:axId val="510582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100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80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505344"/>
        <c:axId val="510506880"/>
      </c:barChart>
      <c:catAx>
        <c:axId val="510505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06880"/>
        <c:crossesAt val="0"/>
        <c:lblAlgn val="ctr"/>
        <c:lblOffset val="100"/>
        <c:tickLblSkip val="1"/>
        <c:tickMarkSkip val="1"/>
      </c:catAx>
      <c:valAx>
        <c:axId val="510506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505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601856"/>
        <c:axId val="510665088"/>
      </c:barChart>
      <c:catAx>
        <c:axId val="51060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665088"/>
        <c:crossesAt val="0"/>
        <c:lblAlgn val="ctr"/>
        <c:lblOffset val="100"/>
        <c:tickLblSkip val="1"/>
        <c:tickMarkSkip val="1"/>
      </c:catAx>
      <c:valAx>
        <c:axId val="510665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60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792832"/>
        <c:axId val="510794368"/>
      </c:barChart>
      <c:catAx>
        <c:axId val="510792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794368"/>
        <c:crossesAt val="0"/>
        <c:lblAlgn val="ctr"/>
        <c:lblOffset val="100"/>
        <c:tickLblSkip val="1"/>
        <c:tickMarkSkip val="1"/>
      </c:catAx>
      <c:valAx>
        <c:axId val="51079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792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0827904"/>
        <c:axId val="510829696"/>
      </c:barChart>
      <c:catAx>
        <c:axId val="510827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829696"/>
        <c:crossesAt val="0"/>
        <c:lblAlgn val="ctr"/>
        <c:lblOffset val="100"/>
        <c:tickLblSkip val="1"/>
        <c:tickMarkSkip val="1"/>
      </c:catAx>
      <c:valAx>
        <c:axId val="510829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0827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137664"/>
        <c:axId val="511139200"/>
      </c:barChart>
      <c:catAx>
        <c:axId val="511137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39200"/>
        <c:crossesAt val="0"/>
        <c:lblAlgn val="ctr"/>
        <c:lblOffset val="100"/>
        <c:tickLblSkip val="1"/>
        <c:tickMarkSkip val="1"/>
      </c:catAx>
      <c:valAx>
        <c:axId val="5111392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137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209856"/>
        <c:axId val="511211392"/>
      </c:barChart>
      <c:catAx>
        <c:axId val="511209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211392"/>
        <c:crossesAt val="0"/>
        <c:lblAlgn val="ctr"/>
        <c:lblOffset val="100"/>
        <c:tickLblSkip val="1"/>
        <c:tickMarkSkip val="1"/>
      </c:catAx>
      <c:valAx>
        <c:axId val="511211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209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486208"/>
        <c:axId val="511500288"/>
      </c:barChart>
      <c:catAx>
        <c:axId val="511486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00288"/>
        <c:crossesAt val="0"/>
        <c:lblAlgn val="ctr"/>
        <c:lblOffset val="100"/>
        <c:tickLblSkip val="1"/>
        <c:tickMarkSkip val="1"/>
      </c:catAx>
      <c:valAx>
        <c:axId val="511500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486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533824"/>
        <c:axId val="511535360"/>
      </c:barChart>
      <c:catAx>
        <c:axId val="51153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35360"/>
        <c:crossesAt val="0"/>
        <c:lblAlgn val="ctr"/>
        <c:lblOffset val="100"/>
        <c:tickLblSkip val="1"/>
        <c:tickMarkSkip val="1"/>
      </c:catAx>
      <c:valAx>
        <c:axId val="511535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3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578112"/>
        <c:axId val="511579648"/>
      </c:barChart>
      <c:catAx>
        <c:axId val="511578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79648"/>
        <c:crossesAt val="0"/>
        <c:lblAlgn val="ctr"/>
        <c:lblOffset val="100"/>
        <c:tickLblSkip val="1"/>
        <c:tickMarkSkip val="1"/>
      </c:catAx>
      <c:valAx>
        <c:axId val="511579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578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858944"/>
        <c:axId val="511860736"/>
      </c:barChart>
      <c:catAx>
        <c:axId val="511858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860736"/>
        <c:crossesAt val="0"/>
        <c:lblAlgn val="ctr"/>
        <c:lblOffset val="100"/>
        <c:tickLblSkip val="1"/>
        <c:tickMarkSkip val="1"/>
      </c:catAx>
      <c:valAx>
        <c:axId val="511860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858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'#1-32D'!$CG$71:$CJ$71</c:f>
              <c:numCache>
                <c:formatCode>0.0</c:formatCode>
                <c:ptCount val="4"/>
                <c:pt idx="0">
                  <c:v>22.637935201154772</c:v>
                </c:pt>
                <c:pt idx="1">
                  <c:v>4.8698950284284095</c:v>
                </c:pt>
                <c:pt idx="2">
                  <c:v>59.271391842083744</c:v>
                </c:pt>
                <c:pt idx="3">
                  <c:v>0</c:v>
                </c:pt>
              </c:numCache>
            </c:numRef>
          </c:val>
        </c:ser>
        <c:gapWidth val="50"/>
        <c:axId val="511231104"/>
        <c:axId val="511232640"/>
      </c:barChart>
      <c:catAx>
        <c:axId val="511231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232640"/>
        <c:crossesAt val="0"/>
        <c:lblAlgn val="ctr"/>
        <c:lblOffset val="100"/>
        <c:tickLblSkip val="1"/>
        <c:tickMarkSkip val="1"/>
      </c:catAx>
      <c:valAx>
        <c:axId val="511232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231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902464"/>
        <c:axId val="511904000"/>
      </c:barChart>
      <c:catAx>
        <c:axId val="511902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904000"/>
        <c:crossesAt val="0"/>
        <c:lblAlgn val="ctr"/>
        <c:lblOffset val="100"/>
        <c:tickLblSkip val="1"/>
        <c:tickMarkSkip val="1"/>
      </c:catAx>
      <c:valAx>
        <c:axId val="511904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902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1941632"/>
        <c:axId val="511963904"/>
      </c:barChart>
      <c:catAx>
        <c:axId val="511941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963904"/>
        <c:crossesAt val="0"/>
        <c:lblAlgn val="ctr"/>
        <c:lblOffset val="100"/>
        <c:tickLblSkip val="1"/>
        <c:tickMarkSkip val="1"/>
      </c:catAx>
      <c:valAx>
        <c:axId val="511963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1941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000768"/>
        <c:axId val="512002304"/>
      </c:barChart>
      <c:catAx>
        <c:axId val="512000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002304"/>
        <c:crossesAt val="0"/>
        <c:lblAlgn val="ctr"/>
        <c:lblOffset val="100"/>
        <c:tickLblSkip val="1"/>
        <c:tickMarkSkip val="1"/>
      </c:catAx>
      <c:valAx>
        <c:axId val="512002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000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211968"/>
        <c:axId val="512213760"/>
      </c:barChart>
      <c:catAx>
        <c:axId val="512211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213760"/>
        <c:crossesAt val="0"/>
        <c:lblAlgn val="ctr"/>
        <c:lblOffset val="100"/>
        <c:tickLblSkip val="1"/>
        <c:tickMarkSkip val="1"/>
      </c:catAx>
      <c:valAx>
        <c:axId val="512213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211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271872"/>
        <c:axId val="512273408"/>
      </c:barChart>
      <c:catAx>
        <c:axId val="512271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273408"/>
        <c:crossesAt val="0"/>
        <c:lblAlgn val="ctr"/>
        <c:lblOffset val="100"/>
        <c:tickLblSkip val="1"/>
        <c:tickMarkSkip val="1"/>
      </c:catAx>
      <c:valAx>
        <c:axId val="512273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271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311680"/>
        <c:axId val="512313216"/>
      </c:barChart>
      <c:catAx>
        <c:axId val="512311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313216"/>
        <c:crossesAt val="0"/>
        <c:lblAlgn val="ctr"/>
        <c:lblOffset val="100"/>
        <c:tickLblSkip val="1"/>
        <c:tickMarkSkip val="1"/>
      </c:catAx>
      <c:valAx>
        <c:axId val="512313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311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580224"/>
        <c:axId val="512602496"/>
      </c:barChart>
      <c:catAx>
        <c:axId val="512580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602496"/>
        <c:crossesAt val="0"/>
        <c:lblAlgn val="ctr"/>
        <c:lblOffset val="100"/>
        <c:tickLblSkip val="1"/>
        <c:tickMarkSkip val="1"/>
      </c:catAx>
      <c:valAx>
        <c:axId val="512602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580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648320"/>
        <c:axId val="512649856"/>
      </c:barChart>
      <c:catAx>
        <c:axId val="512648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649856"/>
        <c:crossesAt val="0"/>
        <c:lblAlgn val="ctr"/>
        <c:lblOffset val="100"/>
        <c:tickLblSkip val="1"/>
        <c:tickMarkSkip val="1"/>
      </c:catAx>
      <c:valAx>
        <c:axId val="512649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648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2687104"/>
        <c:axId val="512692992"/>
      </c:barChart>
      <c:catAx>
        <c:axId val="512687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692992"/>
        <c:crossesAt val="0"/>
        <c:lblAlgn val="ctr"/>
        <c:lblOffset val="100"/>
        <c:tickLblSkip val="1"/>
        <c:tickMarkSkip val="1"/>
      </c:catAx>
      <c:valAx>
        <c:axId val="512692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687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'#1-439'!$CG$51:$CJ$51</c:f>
              <c:numCache>
                <c:formatCode>0.0</c:formatCode>
                <c:ptCount val="4"/>
                <c:pt idx="0">
                  <c:v>32.43596893225758</c:v>
                </c:pt>
                <c:pt idx="1">
                  <c:v>7.1940035490859948</c:v>
                </c:pt>
                <c:pt idx="2">
                  <c:v>94.071568069979733</c:v>
                </c:pt>
                <c:pt idx="3">
                  <c:v>0</c:v>
                </c:pt>
              </c:numCache>
            </c:numRef>
          </c:val>
        </c:ser>
        <c:gapWidth val="50"/>
        <c:axId val="512730624"/>
        <c:axId val="512732160"/>
      </c:barChart>
      <c:catAx>
        <c:axId val="512730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732160"/>
        <c:crossesAt val="0"/>
        <c:lblAlgn val="ctr"/>
        <c:lblOffset val="100"/>
        <c:tickLblSkip val="1"/>
        <c:tickMarkSkip val="1"/>
      </c:catAx>
      <c:valAx>
        <c:axId val="512732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730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'#1-32D'!$CN$71:$CQ$71</c:f>
              <c:numCache>
                <c:formatCode>0.00</c:formatCode>
                <c:ptCount val="4"/>
                <c:pt idx="0">
                  <c:v>0.38193695976414432</c:v>
                </c:pt>
                <c:pt idx="1">
                  <c:v>8.2162656841317794E-2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12345984"/>
        <c:axId val="512761856"/>
      </c:barChart>
      <c:catAx>
        <c:axId val="512345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761856"/>
        <c:crossesAt val="0"/>
        <c:lblAlgn val="ctr"/>
        <c:lblOffset val="100"/>
        <c:tickLblSkip val="1"/>
        <c:tickMarkSkip val="1"/>
      </c:catAx>
      <c:valAx>
        <c:axId val="512761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2345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'#1-439'!$CN$51:$CQ$51</c:f>
              <c:numCache>
                <c:formatCode>0.00</c:formatCode>
                <c:ptCount val="4"/>
                <c:pt idx="0">
                  <c:v>0.3448009807610361</c:v>
                </c:pt>
                <c:pt idx="1">
                  <c:v>7.647372842487736E-2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13027072"/>
        <c:axId val="513032960"/>
      </c:barChart>
      <c:catAx>
        <c:axId val="513027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032960"/>
        <c:crossesAt val="0"/>
        <c:lblAlgn val="ctr"/>
        <c:lblOffset val="100"/>
        <c:tickLblSkip val="1"/>
        <c:tickMarkSkip val="1"/>
      </c:catAx>
      <c:valAx>
        <c:axId val="513032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027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'#1-439'!$CU$51:$CX$51</c:f>
              <c:numCache>
                <c:formatCode>0.00</c:formatCode>
                <c:ptCount val="4"/>
                <c:pt idx="0">
                  <c:v>0.65519901923896384</c:v>
                </c:pt>
                <c:pt idx="1">
                  <c:v>0.77820907511316684</c:v>
                </c:pt>
                <c:pt idx="2">
                  <c:v>0.92352627157512268</c:v>
                </c:pt>
                <c:pt idx="3">
                  <c:v>1</c:v>
                </c:pt>
              </c:numCache>
            </c:numRef>
          </c:val>
        </c:ser>
        <c:gapWidth val="50"/>
        <c:axId val="513082496"/>
        <c:axId val="513084032"/>
      </c:barChart>
      <c:catAx>
        <c:axId val="513082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084032"/>
        <c:crossesAt val="0"/>
        <c:lblAlgn val="ctr"/>
        <c:lblOffset val="100"/>
        <c:tickLblSkip val="1"/>
        <c:tickMarkSkip val="1"/>
      </c:catAx>
      <c:valAx>
        <c:axId val="513084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082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'#1-439'!$BL$51:$BO$51</c:f>
              <c:numCache>
                <c:formatCode>0.0</c:formatCode>
                <c:ptCount val="4"/>
                <c:pt idx="0">
                  <c:v>34.294719040000004</c:v>
                </c:pt>
                <c:pt idx="1">
                  <c:v>9.0527536568284148</c:v>
                </c:pt>
                <c:pt idx="2">
                  <c:v>95.930318177722157</c:v>
                </c:pt>
                <c:pt idx="3">
                  <c:v>1.8587501077424204</c:v>
                </c:pt>
              </c:numCache>
            </c:numRef>
          </c:val>
        </c:ser>
        <c:gapWidth val="50"/>
        <c:axId val="513310080"/>
        <c:axId val="513324160"/>
      </c:barChart>
      <c:catAx>
        <c:axId val="513310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324160"/>
        <c:crossesAt val="0"/>
        <c:lblAlgn val="ctr"/>
        <c:lblOffset val="100"/>
        <c:tickLblSkip val="1"/>
        <c:tickMarkSkip val="1"/>
      </c:catAx>
      <c:valAx>
        <c:axId val="513324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310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'#1-439'!$BS$51:$BV$51</c:f>
              <c:numCache>
                <c:formatCode>0.00</c:formatCode>
                <c:ptCount val="4"/>
                <c:pt idx="0">
                  <c:v>0.35749614607203761</c:v>
                </c:pt>
                <c:pt idx="1">
                  <c:v>9.4368014500453623E-2</c:v>
                </c:pt>
                <c:pt idx="2">
                  <c:v>1</c:v>
                </c:pt>
                <c:pt idx="3">
                  <c:v>1.9376044435700381E-2</c:v>
                </c:pt>
              </c:numCache>
            </c:numRef>
          </c:val>
        </c:ser>
        <c:gapWidth val="50"/>
        <c:axId val="513353600"/>
        <c:axId val="513355136"/>
      </c:barChart>
      <c:catAx>
        <c:axId val="513353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355136"/>
        <c:crossesAt val="0"/>
        <c:lblAlgn val="ctr"/>
        <c:lblOffset val="100"/>
        <c:tickLblSkip val="1"/>
        <c:tickMarkSkip val="1"/>
      </c:catAx>
      <c:valAx>
        <c:axId val="513355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353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'#1-439'!$BZ$51:$CC$51</c:f>
              <c:numCache>
                <c:formatCode>0.00</c:formatCode>
                <c:ptCount val="4"/>
                <c:pt idx="0">
                  <c:v>0.64250385392796239</c:v>
                </c:pt>
                <c:pt idx="1">
                  <c:v>0.73603068022602425</c:v>
                </c:pt>
                <c:pt idx="2">
                  <c:v>0.90563198549954638</c:v>
                </c:pt>
                <c:pt idx="3">
                  <c:v>0.9806239555642996</c:v>
                </c:pt>
              </c:numCache>
            </c:numRef>
          </c:val>
        </c:ser>
        <c:gapWidth val="50"/>
        <c:axId val="513409408"/>
        <c:axId val="513410944"/>
      </c:barChart>
      <c:catAx>
        <c:axId val="513409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410944"/>
        <c:crossesAt val="0"/>
        <c:lblAlgn val="ctr"/>
        <c:lblOffset val="100"/>
        <c:tickLblSkip val="1"/>
        <c:tickMarkSkip val="1"/>
      </c:catAx>
      <c:valAx>
        <c:axId val="513410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409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'#1-439'!$BL$34:$BO$34</c:f>
              <c:numCache>
                <c:formatCode>0.0</c:formatCode>
                <c:ptCount val="4"/>
                <c:pt idx="0">
                  <c:v>34.294719040000004</c:v>
                </c:pt>
                <c:pt idx="1">
                  <c:v>9.0527536568284148</c:v>
                </c:pt>
                <c:pt idx="2">
                  <c:v>95.930318177722157</c:v>
                </c:pt>
                <c:pt idx="3">
                  <c:v>1.8587501077424204</c:v>
                </c:pt>
              </c:numCache>
            </c:numRef>
          </c:val>
        </c:ser>
        <c:gapWidth val="50"/>
        <c:axId val="514132224"/>
        <c:axId val="514150400"/>
      </c:barChart>
      <c:scatterChart>
        <c:scatterStyle val="lineMarker"/>
        <c:ser>
          <c:idx val="1"/>
          <c:order val="1"/>
          <c:tx>
            <c:strRef>
              <c:f>'#1-439'!$BG$3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'#1-439'!$BL$3:$BO$3</c:f>
              <c:numCache>
                <c:formatCode>0.0</c:formatCode>
                <c:ptCount val="4"/>
                <c:pt idx="0">
                  <c:v>34.294719040000004</c:v>
                </c:pt>
                <c:pt idx="1">
                  <c:v>9.0527536568284148</c:v>
                </c:pt>
                <c:pt idx="2">
                  <c:v>95.930318177722157</c:v>
                </c:pt>
                <c:pt idx="3">
                  <c:v>1.8587501077424204</c:v>
                </c:pt>
              </c:numCache>
            </c:numRef>
          </c:yVal>
        </c:ser>
        <c:ser>
          <c:idx val="2"/>
          <c:order val="2"/>
          <c:tx>
            <c:strRef>
              <c:f>'#1-439'!$BG$4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4132224"/>
        <c:axId val="514150400"/>
      </c:scatterChart>
      <c:catAx>
        <c:axId val="514132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4150400"/>
        <c:crossesAt val="0"/>
        <c:lblAlgn val="ctr"/>
        <c:lblOffset val="100"/>
        <c:tickLblSkip val="1"/>
        <c:tickMarkSkip val="1"/>
      </c:catAx>
      <c:valAx>
        <c:axId val="514150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2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4132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'#1-439'!$BS$34:$BV$34</c:f>
              <c:numCache>
                <c:formatCode>0.00</c:formatCode>
                <c:ptCount val="4"/>
                <c:pt idx="0">
                  <c:v>0.35749614607203761</c:v>
                </c:pt>
                <c:pt idx="1">
                  <c:v>9.4368014500453623E-2</c:v>
                </c:pt>
                <c:pt idx="2">
                  <c:v>1</c:v>
                </c:pt>
                <c:pt idx="3">
                  <c:v>1.9376044435700381E-2</c:v>
                </c:pt>
              </c:numCache>
            </c:numRef>
          </c:val>
        </c:ser>
        <c:gapWidth val="50"/>
        <c:axId val="515149824"/>
        <c:axId val="515151360"/>
      </c:barChart>
      <c:scatterChart>
        <c:scatterStyle val="lineMarker"/>
        <c:ser>
          <c:idx val="1"/>
          <c:order val="1"/>
          <c:tx>
            <c:strRef>
              <c:f>'#1-439'!$BP$3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'#1-439'!$BS$3:$BV$3</c:f>
              <c:numCache>
                <c:formatCode>0.00</c:formatCode>
                <c:ptCount val="4"/>
                <c:pt idx="0">
                  <c:v>0.35749614607203761</c:v>
                </c:pt>
                <c:pt idx="1">
                  <c:v>9.4368014500453623E-2</c:v>
                </c:pt>
                <c:pt idx="2">
                  <c:v>1</c:v>
                </c:pt>
                <c:pt idx="3">
                  <c:v>1.9376044435700381E-2</c:v>
                </c:pt>
              </c:numCache>
            </c:numRef>
          </c:yVal>
        </c:ser>
        <c:ser>
          <c:idx val="2"/>
          <c:order val="2"/>
          <c:tx>
            <c:strRef>
              <c:f>'#1-439'!$BP$4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5149824"/>
        <c:axId val="515151360"/>
      </c:scatterChart>
      <c:catAx>
        <c:axId val="515149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151360"/>
        <c:crossesAt val="0"/>
        <c:lblAlgn val="ctr"/>
        <c:lblOffset val="100"/>
        <c:tickLblSkip val="1"/>
        <c:tickMarkSkip val="1"/>
      </c:catAx>
      <c:valAx>
        <c:axId val="515151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149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'#1-439'!$BZ$34:$CC$34</c:f>
              <c:numCache>
                <c:formatCode>0.00</c:formatCode>
                <c:ptCount val="4"/>
                <c:pt idx="0">
                  <c:v>0.64250385392796239</c:v>
                </c:pt>
                <c:pt idx="1">
                  <c:v>0.73603068022602425</c:v>
                </c:pt>
                <c:pt idx="2">
                  <c:v>0.90563198549954638</c:v>
                </c:pt>
                <c:pt idx="3">
                  <c:v>0.9806239555642996</c:v>
                </c:pt>
              </c:numCache>
            </c:numRef>
          </c:val>
        </c:ser>
        <c:gapWidth val="50"/>
        <c:axId val="515976576"/>
        <c:axId val="515978368"/>
      </c:barChart>
      <c:scatterChart>
        <c:scatterStyle val="lineMarker"/>
        <c:ser>
          <c:idx val="1"/>
          <c:order val="1"/>
          <c:tx>
            <c:strRef>
              <c:f>'#1-439'!$BW$3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'#1-439'!$BZ$3:$CC$3</c:f>
              <c:numCache>
                <c:formatCode>0.00</c:formatCode>
                <c:ptCount val="4"/>
                <c:pt idx="0">
                  <c:v>0.64250385392796239</c:v>
                </c:pt>
                <c:pt idx="1">
                  <c:v>0.73603068022602425</c:v>
                </c:pt>
                <c:pt idx="2">
                  <c:v>0.90563198549954638</c:v>
                </c:pt>
                <c:pt idx="3">
                  <c:v>0.9806239555642996</c:v>
                </c:pt>
              </c:numCache>
            </c:numRef>
          </c:yVal>
        </c:ser>
        <c:ser>
          <c:idx val="2"/>
          <c:order val="2"/>
          <c:tx>
            <c:strRef>
              <c:f>'#1-439'!$BW$4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5976576"/>
        <c:axId val="515978368"/>
      </c:scatterChart>
      <c:catAx>
        <c:axId val="515976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978368"/>
        <c:crossesAt val="0"/>
        <c:lblAlgn val="ctr"/>
        <c:lblOffset val="100"/>
        <c:tickLblSkip val="1"/>
        <c:tickMarkSkip val="1"/>
      </c:catAx>
      <c:valAx>
        <c:axId val="515978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976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'#1-439'!$CG$34:$CJ$34</c:f>
              <c:numCache>
                <c:formatCode>0.0</c:formatCode>
                <c:ptCount val="4"/>
                <c:pt idx="0">
                  <c:v>32.43596893225758</c:v>
                </c:pt>
                <c:pt idx="1">
                  <c:v>7.1940035490859948</c:v>
                </c:pt>
                <c:pt idx="2">
                  <c:v>94.071568069979733</c:v>
                </c:pt>
                <c:pt idx="3">
                  <c:v>0</c:v>
                </c:pt>
              </c:numCache>
            </c:numRef>
          </c:val>
        </c:ser>
        <c:gapWidth val="50"/>
        <c:axId val="516727936"/>
        <c:axId val="516729472"/>
      </c:barChart>
      <c:scatterChart>
        <c:scatterStyle val="lineMarker"/>
        <c:ser>
          <c:idx val="1"/>
          <c:order val="1"/>
          <c:tx>
            <c:strRef>
              <c:f>'#1-439'!$CK$3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'#1-439'!$CG$3:$CJ$3</c:f>
              <c:numCache>
                <c:formatCode>0.0</c:formatCode>
                <c:ptCount val="4"/>
                <c:pt idx="0">
                  <c:v>32.43596893225758</c:v>
                </c:pt>
                <c:pt idx="1">
                  <c:v>7.1940035490859948</c:v>
                </c:pt>
                <c:pt idx="2">
                  <c:v>94.071568069979733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'#1-439'!$CK$4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6727936"/>
        <c:axId val="516729472"/>
      </c:scatterChart>
      <c:catAx>
        <c:axId val="516727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6729472"/>
        <c:crossesAt val="0"/>
        <c:lblAlgn val="ctr"/>
        <c:lblOffset val="100"/>
        <c:tickLblSkip val="1"/>
        <c:tickMarkSkip val="1"/>
      </c:catAx>
      <c:valAx>
        <c:axId val="516729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6727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'#1-439'!$CN$34:$CQ$34</c:f>
              <c:numCache>
                <c:formatCode>0.00</c:formatCode>
                <c:ptCount val="4"/>
                <c:pt idx="0">
                  <c:v>0.3448009807610361</c:v>
                </c:pt>
                <c:pt idx="1">
                  <c:v>7.647372842487736E-2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17423488"/>
        <c:axId val="517425024"/>
      </c:barChart>
      <c:scatterChart>
        <c:scatterStyle val="lineMarker"/>
        <c:ser>
          <c:idx val="1"/>
          <c:order val="1"/>
          <c:tx>
            <c:strRef>
              <c:f>'#1-439'!$CR$3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'#1-439'!$CN$3:$CQ$3</c:f>
              <c:numCache>
                <c:formatCode>0.00</c:formatCode>
                <c:ptCount val="4"/>
                <c:pt idx="0">
                  <c:v>0.3448009807610361</c:v>
                </c:pt>
                <c:pt idx="1">
                  <c:v>7.647372842487736E-2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'#1-439'!$CR$4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7423488"/>
        <c:axId val="517425024"/>
      </c:scatterChart>
      <c:catAx>
        <c:axId val="517423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425024"/>
        <c:crossesAt val="0"/>
        <c:lblAlgn val="ctr"/>
        <c:lblOffset val="100"/>
        <c:tickLblSkip val="1"/>
        <c:tickMarkSkip val="1"/>
      </c:catAx>
      <c:valAx>
        <c:axId val="517425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1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423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'#1-32D'!$CU$71:$CX$71</c:f>
              <c:numCache>
                <c:formatCode>0.00</c:formatCode>
                <c:ptCount val="4"/>
                <c:pt idx="0">
                  <c:v>0.61806304023585568</c:v>
                </c:pt>
                <c:pt idx="1">
                  <c:v>0.78487901015901862</c:v>
                </c:pt>
                <c:pt idx="2">
                  <c:v>0.91783734315868215</c:v>
                </c:pt>
                <c:pt idx="3">
                  <c:v>1</c:v>
                </c:pt>
              </c:numCache>
            </c:numRef>
          </c:val>
        </c:ser>
        <c:gapWidth val="50"/>
        <c:axId val="513750144"/>
        <c:axId val="513778048"/>
      </c:barChart>
      <c:catAx>
        <c:axId val="513750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778048"/>
        <c:crossesAt val="0"/>
        <c:lblAlgn val="ctr"/>
        <c:lblOffset val="100"/>
        <c:tickLblSkip val="1"/>
        <c:tickMarkSkip val="1"/>
      </c:catAx>
      <c:valAx>
        <c:axId val="513778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369186862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3750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'#1-439'!$CU$1:$CX$1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'#1-439'!$CU$34:$CX$34</c:f>
              <c:numCache>
                <c:formatCode>0.00</c:formatCode>
                <c:ptCount val="4"/>
                <c:pt idx="0">
                  <c:v>0.65519901923896384</c:v>
                </c:pt>
                <c:pt idx="1">
                  <c:v>0.77820907511316684</c:v>
                </c:pt>
                <c:pt idx="2">
                  <c:v>0.92352627157512268</c:v>
                </c:pt>
                <c:pt idx="3">
                  <c:v>1</c:v>
                </c:pt>
              </c:numCache>
            </c:numRef>
          </c:val>
        </c:ser>
        <c:gapWidth val="50"/>
        <c:axId val="517855872"/>
        <c:axId val="517869952"/>
      </c:barChart>
      <c:scatterChart>
        <c:scatterStyle val="lineMarker"/>
        <c:ser>
          <c:idx val="1"/>
          <c:order val="1"/>
          <c:tx>
            <c:strRef>
              <c:f>'#1-439'!$CY$3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'#1-439'!$CU$3:$CX$3</c:f>
              <c:numCache>
                <c:formatCode>0.00</c:formatCode>
                <c:ptCount val="4"/>
                <c:pt idx="0">
                  <c:v>0.65519901923896384</c:v>
                </c:pt>
                <c:pt idx="1">
                  <c:v>0.77820907511316684</c:v>
                </c:pt>
                <c:pt idx="2">
                  <c:v>0.92352627157512268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'#1-439'!$CY$4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17855872"/>
        <c:axId val="517869952"/>
      </c:scatterChart>
      <c:catAx>
        <c:axId val="517855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869952"/>
        <c:crossesAt val="0"/>
        <c:lblAlgn val="ctr"/>
        <c:lblOffset val="100"/>
        <c:tickLblSkip val="1"/>
        <c:tickMarkSkip val="1"/>
      </c:catAx>
      <c:valAx>
        <c:axId val="5178699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2105263824469330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855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7895296"/>
        <c:axId val="517896832"/>
      </c:barChart>
      <c:catAx>
        <c:axId val="517895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896832"/>
        <c:crossesAt val="0"/>
        <c:lblAlgn val="ctr"/>
        <c:lblOffset val="100"/>
        <c:tickLblSkip val="1"/>
        <c:tickMarkSkip val="1"/>
      </c:catAx>
      <c:valAx>
        <c:axId val="517896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895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086016"/>
        <c:axId val="518096000"/>
      </c:barChart>
      <c:catAx>
        <c:axId val="518086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096000"/>
        <c:crossesAt val="0"/>
        <c:lblAlgn val="ctr"/>
        <c:lblOffset val="100"/>
        <c:tickLblSkip val="1"/>
        <c:tickMarkSkip val="1"/>
      </c:catAx>
      <c:valAx>
        <c:axId val="518096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086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141824"/>
        <c:axId val="518143360"/>
      </c:barChart>
      <c:catAx>
        <c:axId val="518141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143360"/>
        <c:crossesAt val="0"/>
        <c:lblAlgn val="ctr"/>
        <c:lblOffset val="100"/>
        <c:tickLblSkip val="1"/>
        <c:tickMarkSkip val="1"/>
      </c:catAx>
      <c:valAx>
        <c:axId val="518143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141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180864"/>
        <c:axId val="518182400"/>
      </c:barChart>
      <c:catAx>
        <c:axId val="518180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182400"/>
        <c:crossesAt val="0"/>
        <c:lblAlgn val="ctr"/>
        <c:lblOffset val="100"/>
        <c:tickLblSkip val="1"/>
        <c:tickMarkSkip val="1"/>
      </c:catAx>
      <c:valAx>
        <c:axId val="518182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180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424832"/>
        <c:axId val="518426624"/>
      </c:barChart>
      <c:catAx>
        <c:axId val="518424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426624"/>
        <c:crossesAt val="0"/>
        <c:lblAlgn val="ctr"/>
        <c:lblOffset val="100"/>
        <c:tickLblSkip val="1"/>
        <c:tickMarkSkip val="1"/>
      </c:catAx>
      <c:valAx>
        <c:axId val="518426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424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463872"/>
        <c:axId val="518465408"/>
      </c:barChart>
      <c:catAx>
        <c:axId val="518463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465408"/>
        <c:crossesAt val="0"/>
        <c:lblAlgn val="ctr"/>
        <c:lblOffset val="100"/>
        <c:tickLblSkip val="1"/>
        <c:tickMarkSkip val="1"/>
      </c:catAx>
      <c:valAx>
        <c:axId val="518465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463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503040"/>
        <c:axId val="518508928"/>
      </c:barChart>
      <c:catAx>
        <c:axId val="518503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508928"/>
        <c:crossesAt val="0"/>
        <c:lblAlgn val="ctr"/>
        <c:lblOffset val="100"/>
        <c:tickLblSkip val="1"/>
        <c:tickMarkSkip val="1"/>
      </c:catAx>
      <c:valAx>
        <c:axId val="518508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503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653056"/>
        <c:axId val="518654592"/>
      </c:barChart>
      <c:catAx>
        <c:axId val="518653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654592"/>
        <c:crossesAt val="0"/>
        <c:lblAlgn val="ctr"/>
        <c:lblOffset val="100"/>
        <c:tickLblSkip val="1"/>
        <c:tickMarkSkip val="1"/>
      </c:catAx>
      <c:valAx>
        <c:axId val="518654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653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708224"/>
        <c:axId val="518718208"/>
      </c:barChart>
      <c:catAx>
        <c:axId val="518708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718208"/>
        <c:crossesAt val="0"/>
        <c:lblAlgn val="ctr"/>
        <c:lblOffset val="100"/>
        <c:tickLblSkip val="1"/>
        <c:tickMarkSkip val="1"/>
      </c:catAx>
      <c:valAx>
        <c:axId val="518718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708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'#1-32D'!$CG$51:$CJ$51</c:f>
              <c:numCache>
                <c:formatCode>0.0</c:formatCode>
                <c:ptCount val="4"/>
                <c:pt idx="0">
                  <c:v>22.563049390537287</c:v>
                </c:pt>
                <c:pt idx="1">
                  <c:v>4.7785236126483444</c:v>
                </c:pt>
                <c:pt idx="2">
                  <c:v>59.416519752917786</c:v>
                </c:pt>
                <c:pt idx="3">
                  <c:v>0</c:v>
                </c:pt>
              </c:numCache>
            </c:numRef>
          </c:val>
        </c:ser>
        <c:gapWidth val="50"/>
        <c:axId val="514224512"/>
        <c:axId val="514226048"/>
      </c:barChart>
      <c:catAx>
        <c:axId val="514224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4226048"/>
        <c:crossesAt val="0"/>
        <c:lblAlgn val="ctr"/>
        <c:lblOffset val="100"/>
        <c:tickLblSkip val="1"/>
        <c:tickMarkSkip val="1"/>
      </c:catAx>
      <c:valAx>
        <c:axId val="514226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4224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8841856"/>
        <c:axId val="518843392"/>
      </c:barChart>
      <c:catAx>
        <c:axId val="51884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843392"/>
        <c:crossesAt val="0"/>
        <c:lblAlgn val="ctr"/>
        <c:lblOffset val="100"/>
        <c:tickLblSkip val="1"/>
        <c:tickMarkSkip val="1"/>
      </c:catAx>
      <c:valAx>
        <c:axId val="518843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84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9012352"/>
        <c:axId val="519013888"/>
      </c:barChart>
      <c:catAx>
        <c:axId val="519012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013888"/>
        <c:crossesAt val="0"/>
        <c:lblAlgn val="ctr"/>
        <c:lblOffset val="100"/>
        <c:tickLblSkip val="1"/>
        <c:tickMarkSkip val="1"/>
      </c:catAx>
      <c:valAx>
        <c:axId val="519013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012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9117056"/>
        <c:axId val="519118848"/>
      </c:barChart>
      <c:catAx>
        <c:axId val="519117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118848"/>
        <c:crossesAt val="0"/>
        <c:lblAlgn val="ctr"/>
        <c:lblOffset val="100"/>
        <c:tickLblSkip val="1"/>
        <c:tickMarkSkip val="1"/>
      </c:catAx>
      <c:valAx>
        <c:axId val="519118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117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9739264"/>
        <c:axId val="519740800"/>
      </c:barChart>
      <c:catAx>
        <c:axId val="519739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740800"/>
        <c:crossesAt val="0"/>
        <c:lblAlgn val="ctr"/>
        <c:lblOffset val="100"/>
        <c:tickLblSkip val="1"/>
        <c:tickMarkSkip val="1"/>
      </c:catAx>
      <c:valAx>
        <c:axId val="519740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7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9926144"/>
        <c:axId val="519927680"/>
      </c:barChart>
      <c:catAx>
        <c:axId val="519926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27680"/>
        <c:crossesAt val="0"/>
        <c:lblAlgn val="ctr"/>
        <c:lblOffset val="100"/>
        <c:tickLblSkip val="1"/>
        <c:tickMarkSkip val="1"/>
      </c:catAx>
      <c:valAx>
        <c:axId val="519927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26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19981696"/>
        <c:axId val="519983488"/>
      </c:barChart>
      <c:catAx>
        <c:axId val="519981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83488"/>
        <c:crossesAt val="0"/>
        <c:lblAlgn val="ctr"/>
        <c:lblOffset val="100"/>
        <c:tickLblSkip val="1"/>
        <c:tickMarkSkip val="1"/>
      </c:catAx>
      <c:valAx>
        <c:axId val="5199834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81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025216"/>
        <c:axId val="520026752"/>
      </c:barChart>
      <c:catAx>
        <c:axId val="520025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026752"/>
        <c:crossesAt val="0"/>
        <c:lblAlgn val="ctr"/>
        <c:lblOffset val="100"/>
        <c:tickLblSkip val="1"/>
        <c:tickMarkSkip val="1"/>
      </c:catAx>
      <c:valAx>
        <c:axId val="520026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025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146304"/>
        <c:axId val="520176768"/>
      </c:barChart>
      <c:catAx>
        <c:axId val="520146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176768"/>
        <c:crossesAt val="0"/>
        <c:lblAlgn val="ctr"/>
        <c:lblOffset val="100"/>
        <c:tickLblSkip val="1"/>
        <c:tickMarkSkip val="1"/>
      </c:catAx>
      <c:valAx>
        <c:axId val="520176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146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398336"/>
        <c:axId val="520399872"/>
      </c:barChart>
      <c:catAx>
        <c:axId val="520398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399872"/>
        <c:crossesAt val="0"/>
        <c:lblAlgn val="ctr"/>
        <c:lblOffset val="100"/>
        <c:tickLblSkip val="1"/>
        <c:tickMarkSkip val="1"/>
      </c:catAx>
      <c:valAx>
        <c:axId val="520399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398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572928"/>
        <c:axId val="520574464"/>
      </c:barChart>
      <c:catAx>
        <c:axId val="5205729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574464"/>
        <c:crossesAt val="0"/>
        <c:lblAlgn val="ctr"/>
        <c:lblOffset val="100"/>
        <c:tickLblSkip val="1"/>
        <c:tickMarkSkip val="1"/>
      </c:catAx>
      <c:valAx>
        <c:axId val="5205744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5729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'Cohort-32D'!$BS$1:$BV$1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'Cohort-32D'!$BS$34:$BV$34</c:f>
              <c:numCache>
                <c:formatCode>0.00</c:formatCode>
                <c:ptCount val="4"/>
                <c:pt idx="0">
                  <c:v>0.41187007573553508</c:v>
                </c:pt>
                <c:pt idx="1">
                  <c:v>0.12999967190259845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val>
        </c:ser>
        <c:gapWidth val="50"/>
        <c:axId val="484435456"/>
        <c:axId val="484436992"/>
      </c:barChart>
      <c:scatterChart>
        <c:scatterStyle val="lineMarker"/>
        <c:ser>
          <c:idx val="1"/>
          <c:order val="1"/>
          <c:tx>
            <c:strRef>
              <c:f>'Cohort-32D'!$BP$3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'Cohort-32D'!$BS$3:$BV$3</c:f>
              <c:numCache>
                <c:formatCode>0.00</c:formatCode>
                <c:ptCount val="4"/>
                <c:pt idx="0">
                  <c:v>0.40826163316286157</c:v>
                </c:pt>
                <c:pt idx="1">
                  <c:v>0.12197697615174127</c:v>
                </c:pt>
                <c:pt idx="2">
                  <c:v>1</c:v>
                </c:pt>
                <c:pt idx="3">
                  <c:v>4.4278476959059801E-2</c:v>
                </c:pt>
              </c:numCache>
            </c:numRef>
          </c:yVal>
        </c:ser>
        <c:ser>
          <c:idx val="2"/>
          <c:order val="2"/>
          <c:tx>
            <c:strRef>
              <c:f>'Cohort-32D'!$BP$4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'Cohort-32D'!$BS$4:$BV$4</c:f>
              <c:numCache>
                <c:formatCode>0.00</c:formatCode>
                <c:ptCount val="4"/>
                <c:pt idx="0">
                  <c:v>0.41187007573553508</c:v>
                </c:pt>
                <c:pt idx="1">
                  <c:v>0.12999967190259845</c:v>
                </c:pt>
                <c:pt idx="2">
                  <c:v>1</c:v>
                </c:pt>
                <c:pt idx="3">
                  <c:v>2.2942925408784592E-2</c:v>
                </c:pt>
              </c:numCache>
            </c:numRef>
          </c:yVal>
        </c:ser>
        <c:ser>
          <c:idx val="3"/>
          <c:order val="3"/>
          <c:tx>
            <c:strRef>
              <c:f>'Cohort-32D'!$BP$5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'Cohort-32D'!$BS$5:$BV$5</c:f>
              <c:numCache>
                <c:formatCode>0.00</c:formatCode>
                <c:ptCount val="4"/>
                <c:pt idx="0">
                  <c:v>0.41855233758634514</c:v>
                </c:pt>
                <c:pt idx="1">
                  <c:v>0.1426259982460622</c:v>
                </c:pt>
                <c:pt idx="2">
                  <c:v>1</c:v>
                </c:pt>
                <c:pt idx="3">
                  <c:v>2.9042304657102686E-2</c:v>
                </c:pt>
              </c:numCache>
            </c:numRef>
          </c:yVal>
        </c:ser>
        <c:ser>
          <c:idx val="4"/>
          <c:order val="4"/>
          <c:tx>
            <c:strRef>
              <c:f>'Cohort-32D'!$BP$6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'Cohort-32D'!$BS$6:$BV$6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'Cohort-32D'!$BS$7:$BV$7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'Cohort-32D'!$BS$8:$BV$8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'Cohort-32D'!$BS$9:$BV$9</c:f>
              <c:numCache>
                <c:formatCode>0.00</c:formatCode>
                <c:ptCount val="4"/>
              </c:numCache>
            </c:numRef>
          </c:yVal>
        </c:ser>
        <c:ser>
          <c:idx val="8"/>
          <c:order val="8"/>
          <c:tx>
            <c:strRef>
              <c:f>'Cohort-32D'!$BP$10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'Cohort-32D'!$BS$10:$BV$10</c:f>
              <c:numCache>
                <c:formatCode>0.00</c:formatCode>
                <c:ptCount val="4"/>
              </c:numCache>
            </c:numRef>
          </c:yVal>
        </c:ser>
        <c:axId val="484435456"/>
        <c:axId val="484436992"/>
      </c:scatterChart>
      <c:catAx>
        <c:axId val="484435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436992"/>
        <c:crossesAt val="0"/>
        <c:lblAlgn val="ctr"/>
        <c:lblOffset val="100"/>
        <c:tickLblSkip val="1"/>
        <c:tickMarkSkip val="1"/>
      </c:catAx>
      <c:valAx>
        <c:axId val="484436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74E-2"/>
              <c:y val="0.265665558793995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4435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'#1-32D'!$CN$51:$CQ$51</c:f>
              <c:numCache>
                <c:formatCode>0.00</c:formatCode>
                <c:ptCount val="4"/>
                <c:pt idx="0">
                  <c:v>0.37974370569607918</c:v>
                </c:pt>
                <c:pt idx="1">
                  <c:v>8.0424158677077071E-2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14968960"/>
        <c:axId val="515044480"/>
      </c:barChart>
      <c:catAx>
        <c:axId val="514968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044480"/>
        <c:crossesAt val="0"/>
        <c:lblAlgn val="ctr"/>
        <c:lblOffset val="100"/>
        <c:tickLblSkip val="1"/>
        <c:tickMarkSkip val="1"/>
      </c:catAx>
      <c:valAx>
        <c:axId val="515044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4968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628480"/>
        <c:axId val="520810496"/>
      </c:barChart>
      <c:catAx>
        <c:axId val="520628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810496"/>
        <c:crossesAt val="0"/>
        <c:lblAlgn val="ctr"/>
        <c:lblOffset val="100"/>
        <c:tickLblSkip val="1"/>
        <c:tickMarkSkip val="1"/>
      </c:catAx>
      <c:valAx>
        <c:axId val="520810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628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917760"/>
        <c:axId val="520919296"/>
      </c:barChart>
      <c:catAx>
        <c:axId val="520917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919296"/>
        <c:crossesAt val="0"/>
        <c:lblAlgn val="ctr"/>
        <c:lblOffset val="100"/>
        <c:tickLblSkip val="1"/>
        <c:tickMarkSkip val="1"/>
      </c:catAx>
      <c:valAx>
        <c:axId val="520919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917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0973312"/>
        <c:axId val="520983296"/>
      </c:barChart>
      <c:catAx>
        <c:axId val="520973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983296"/>
        <c:crossesAt val="0"/>
        <c:lblAlgn val="ctr"/>
        <c:lblOffset val="100"/>
        <c:tickLblSkip val="1"/>
        <c:tickMarkSkip val="1"/>
      </c:catAx>
      <c:valAx>
        <c:axId val="520983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0973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172480"/>
        <c:axId val="521174016"/>
      </c:barChart>
      <c:catAx>
        <c:axId val="521172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174016"/>
        <c:crossesAt val="0"/>
        <c:lblAlgn val="ctr"/>
        <c:lblOffset val="100"/>
        <c:tickLblSkip val="1"/>
        <c:tickMarkSkip val="1"/>
      </c:catAx>
      <c:valAx>
        <c:axId val="521174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172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248128"/>
        <c:axId val="521249920"/>
      </c:barChart>
      <c:catAx>
        <c:axId val="521248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249920"/>
        <c:crossesAt val="0"/>
        <c:lblAlgn val="ctr"/>
        <c:lblOffset val="100"/>
        <c:tickLblSkip val="1"/>
        <c:tickMarkSkip val="1"/>
      </c:catAx>
      <c:valAx>
        <c:axId val="5212499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248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303936"/>
        <c:axId val="521305472"/>
      </c:barChart>
      <c:catAx>
        <c:axId val="521303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305472"/>
        <c:crossesAt val="0"/>
        <c:lblAlgn val="ctr"/>
        <c:lblOffset val="100"/>
        <c:tickLblSkip val="1"/>
        <c:tickMarkSkip val="1"/>
      </c:catAx>
      <c:valAx>
        <c:axId val="521305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303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613696"/>
        <c:axId val="521615232"/>
      </c:barChart>
      <c:catAx>
        <c:axId val="521613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615232"/>
        <c:crossesAt val="0"/>
        <c:lblAlgn val="ctr"/>
        <c:lblOffset val="100"/>
        <c:tickLblSkip val="1"/>
        <c:tickMarkSkip val="1"/>
      </c:catAx>
      <c:valAx>
        <c:axId val="521615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613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656960"/>
        <c:axId val="521671040"/>
      </c:barChart>
      <c:catAx>
        <c:axId val="521656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671040"/>
        <c:crossesAt val="0"/>
        <c:lblAlgn val="ctr"/>
        <c:lblOffset val="100"/>
        <c:tickLblSkip val="1"/>
        <c:tickMarkSkip val="1"/>
      </c:catAx>
      <c:valAx>
        <c:axId val="521671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656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700480"/>
        <c:axId val="521702016"/>
      </c:barChart>
      <c:catAx>
        <c:axId val="521700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702016"/>
        <c:crossesAt val="0"/>
        <c:lblAlgn val="ctr"/>
        <c:lblOffset val="100"/>
        <c:tickLblSkip val="1"/>
        <c:tickMarkSkip val="1"/>
      </c:catAx>
      <c:valAx>
        <c:axId val="521702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700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805184"/>
        <c:axId val="521954432"/>
      </c:barChart>
      <c:catAx>
        <c:axId val="521805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954432"/>
        <c:crossesAt val="0"/>
        <c:lblAlgn val="ctr"/>
        <c:lblOffset val="100"/>
        <c:tickLblSkip val="1"/>
        <c:tickMarkSkip val="1"/>
      </c:catAx>
      <c:valAx>
        <c:axId val="521954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805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'#1-32D'!$CU$51:$CX$51</c:f>
              <c:numCache>
                <c:formatCode>0.00</c:formatCode>
                <c:ptCount val="4"/>
                <c:pt idx="0">
                  <c:v>0.62025629430392082</c:v>
                </c:pt>
                <c:pt idx="1">
                  <c:v>0.78821463668592562</c:v>
                </c:pt>
                <c:pt idx="2">
                  <c:v>0.91957584132292292</c:v>
                </c:pt>
                <c:pt idx="3">
                  <c:v>1</c:v>
                </c:pt>
              </c:numCache>
            </c:numRef>
          </c:val>
        </c:ser>
        <c:gapWidth val="50"/>
        <c:axId val="515275008"/>
        <c:axId val="515393024"/>
      </c:barChart>
      <c:catAx>
        <c:axId val="515275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393024"/>
        <c:crossesAt val="0"/>
        <c:lblAlgn val="ctr"/>
        <c:lblOffset val="100"/>
        <c:tickLblSkip val="1"/>
        <c:tickMarkSkip val="1"/>
      </c:catAx>
      <c:valAx>
        <c:axId val="515393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369186862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5275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1999872"/>
        <c:axId val="522001408"/>
      </c:barChart>
      <c:catAx>
        <c:axId val="521999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001408"/>
        <c:crossesAt val="0"/>
        <c:lblAlgn val="ctr"/>
        <c:lblOffset val="100"/>
        <c:tickLblSkip val="1"/>
        <c:tickMarkSkip val="1"/>
      </c:catAx>
      <c:valAx>
        <c:axId val="522001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1999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043392"/>
        <c:axId val="522044928"/>
      </c:barChart>
      <c:catAx>
        <c:axId val="522043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044928"/>
        <c:crossesAt val="0"/>
        <c:lblAlgn val="ctr"/>
        <c:lblOffset val="100"/>
        <c:tickLblSkip val="1"/>
        <c:tickMarkSkip val="1"/>
      </c:catAx>
      <c:valAx>
        <c:axId val="52204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043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083328"/>
        <c:axId val="522085120"/>
      </c:barChart>
      <c:catAx>
        <c:axId val="522083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085120"/>
        <c:crossesAt val="0"/>
        <c:lblAlgn val="ctr"/>
        <c:lblOffset val="100"/>
        <c:tickLblSkip val="1"/>
        <c:tickMarkSkip val="1"/>
      </c:catAx>
      <c:valAx>
        <c:axId val="522085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083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397184"/>
        <c:axId val="522398720"/>
      </c:barChart>
      <c:catAx>
        <c:axId val="522397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398720"/>
        <c:crossesAt val="0"/>
        <c:lblAlgn val="ctr"/>
        <c:lblOffset val="100"/>
        <c:tickLblSkip val="1"/>
        <c:tickMarkSkip val="1"/>
      </c:catAx>
      <c:valAx>
        <c:axId val="522398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397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448896"/>
        <c:axId val="522450432"/>
      </c:barChart>
      <c:catAx>
        <c:axId val="522448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450432"/>
        <c:crossesAt val="0"/>
        <c:lblAlgn val="ctr"/>
        <c:lblOffset val="100"/>
        <c:tickLblSkip val="1"/>
        <c:tickMarkSkip val="1"/>
      </c:catAx>
      <c:valAx>
        <c:axId val="522450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448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496256"/>
        <c:axId val="522498048"/>
      </c:barChart>
      <c:catAx>
        <c:axId val="522496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498048"/>
        <c:crossesAt val="0"/>
        <c:lblAlgn val="ctr"/>
        <c:lblOffset val="100"/>
        <c:tickLblSkip val="1"/>
        <c:tickMarkSkip val="1"/>
      </c:catAx>
      <c:valAx>
        <c:axId val="522498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496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2706944"/>
        <c:axId val="522708480"/>
      </c:barChart>
      <c:catAx>
        <c:axId val="522706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708480"/>
        <c:crossesAt val="0"/>
        <c:lblAlgn val="ctr"/>
        <c:lblOffset val="100"/>
        <c:tickLblSkip val="1"/>
        <c:tickMarkSkip val="1"/>
      </c:catAx>
      <c:valAx>
        <c:axId val="522708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706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'#2-439'!$BL$71:$BO$71</c:f>
              <c:numCache>
                <c:formatCode>0.0</c:formatCode>
                <c:ptCount val="4"/>
                <c:pt idx="0">
                  <c:v>22.266832685714288</c:v>
                </c:pt>
                <c:pt idx="1">
                  <c:v>6.8734847423711862</c:v>
                </c:pt>
                <c:pt idx="2">
                  <c:v>61.29148532808869</c:v>
                </c:pt>
                <c:pt idx="3">
                  <c:v>0.41956905895407526</c:v>
                </c:pt>
              </c:numCache>
            </c:numRef>
          </c:val>
        </c:ser>
        <c:gapWidth val="50"/>
        <c:axId val="522774784"/>
        <c:axId val="522780672"/>
      </c:barChart>
      <c:catAx>
        <c:axId val="5227747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780672"/>
        <c:crossesAt val="0"/>
        <c:lblAlgn val="ctr"/>
        <c:lblOffset val="100"/>
        <c:tickLblSkip val="1"/>
        <c:tickMarkSkip val="1"/>
      </c:catAx>
      <c:valAx>
        <c:axId val="522780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774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'#2-439'!$BS$71:$BV$71</c:f>
              <c:numCache>
                <c:formatCode>0.00</c:formatCode>
                <c:ptCount val="4"/>
                <c:pt idx="0">
                  <c:v>0.3632940622424406</c:v>
                </c:pt>
                <c:pt idx="1">
                  <c:v>0.11214420250346262</c:v>
                </c:pt>
                <c:pt idx="2">
                  <c:v>1</c:v>
                </c:pt>
                <c:pt idx="3">
                  <c:v>6.8454705691688459E-3</c:v>
                </c:pt>
              </c:numCache>
            </c:numRef>
          </c:val>
        </c:ser>
        <c:gapWidth val="50"/>
        <c:axId val="522818304"/>
        <c:axId val="522819840"/>
      </c:barChart>
      <c:catAx>
        <c:axId val="522818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819840"/>
        <c:crossesAt val="0"/>
        <c:lblAlgn val="ctr"/>
        <c:lblOffset val="100"/>
        <c:tickLblSkip val="1"/>
        <c:tickMarkSkip val="1"/>
      </c:catAx>
      <c:valAx>
        <c:axId val="522819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2818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'#2-439'!$BZ$71:$CC$71</c:f>
              <c:numCache>
                <c:formatCode>0.00</c:formatCode>
                <c:ptCount val="4"/>
                <c:pt idx="0">
                  <c:v>0.63670593775755946</c:v>
                </c:pt>
                <c:pt idx="1">
                  <c:v>0.69131286701673555</c:v>
                </c:pt>
                <c:pt idx="2">
                  <c:v>0.88785579749653742</c:v>
                </c:pt>
                <c:pt idx="3">
                  <c:v>0.99315452943083116</c:v>
                </c:pt>
              </c:numCache>
            </c:numRef>
          </c:val>
        </c:ser>
        <c:gapWidth val="50"/>
        <c:axId val="523189632"/>
        <c:axId val="523195520"/>
      </c:barChart>
      <c:catAx>
        <c:axId val="523189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195520"/>
        <c:crossesAt val="0"/>
        <c:lblAlgn val="ctr"/>
        <c:lblOffset val="100"/>
        <c:tickLblSkip val="1"/>
        <c:tickMarkSkip val="1"/>
      </c:catAx>
      <c:valAx>
        <c:axId val="523195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189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'#1-32D'!$BL$51:$BO$51</c:f>
              <c:numCache>
                <c:formatCode>0.0</c:formatCode>
                <c:ptCount val="4"/>
                <c:pt idx="0">
                  <c:v>25.664969999999997</c:v>
                </c:pt>
                <c:pt idx="1">
                  <c:v>7.8804442221110556</c:v>
                </c:pt>
                <c:pt idx="2">
                  <c:v>62.518440362380495</c:v>
                </c:pt>
                <c:pt idx="3">
                  <c:v>3.1019206094627108</c:v>
                </c:pt>
              </c:numCache>
            </c:numRef>
          </c:val>
        </c:ser>
        <c:gapWidth val="50"/>
        <c:axId val="516107264"/>
        <c:axId val="516268800"/>
      </c:barChart>
      <c:catAx>
        <c:axId val="516107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6268800"/>
        <c:crossesAt val="0"/>
        <c:lblAlgn val="ctr"/>
        <c:lblOffset val="100"/>
        <c:tickLblSkip val="1"/>
        <c:tickMarkSkip val="1"/>
      </c:catAx>
      <c:valAx>
        <c:axId val="516268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6107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'#2-439'!$CG$71:$CJ$71</c:f>
              <c:numCache>
                <c:formatCode>0.0</c:formatCode>
                <c:ptCount val="4"/>
                <c:pt idx="0">
                  <c:v>21.847263626760213</c:v>
                </c:pt>
                <c:pt idx="1">
                  <c:v>6.4539156834171107</c:v>
                </c:pt>
                <c:pt idx="2">
                  <c:v>60.871916269134616</c:v>
                </c:pt>
                <c:pt idx="3">
                  <c:v>0</c:v>
                </c:pt>
              </c:numCache>
            </c:numRef>
          </c:val>
        </c:ser>
        <c:gapWidth val="50"/>
        <c:axId val="523224960"/>
        <c:axId val="523226496"/>
      </c:barChart>
      <c:catAx>
        <c:axId val="523224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226496"/>
        <c:crossesAt val="0"/>
        <c:lblAlgn val="ctr"/>
        <c:lblOffset val="100"/>
        <c:tickLblSkip val="1"/>
        <c:tickMarkSkip val="1"/>
      </c:catAx>
      <c:valAx>
        <c:axId val="523226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224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'#2-439'!$CN$71:$CQ$71</c:f>
              <c:numCache>
                <c:formatCode>0.00</c:formatCode>
                <c:ptCount val="4"/>
                <c:pt idx="0">
                  <c:v>0.35890546849496785</c:v>
                </c:pt>
                <c:pt idx="1">
                  <c:v>0.10602451966325888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23288960"/>
        <c:axId val="523290496"/>
      </c:barChart>
      <c:catAx>
        <c:axId val="523288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290496"/>
        <c:crossesAt val="0"/>
        <c:lblAlgn val="ctr"/>
        <c:lblOffset val="100"/>
        <c:tickLblSkip val="1"/>
        <c:tickMarkSkip val="1"/>
      </c:catAx>
      <c:valAx>
        <c:axId val="523290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288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'#2-439'!$CU$71:$CX$71</c:f>
              <c:numCache>
                <c:formatCode>0.00</c:formatCode>
                <c:ptCount val="4"/>
                <c:pt idx="0">
                  <c:v>0.64109453150503215</c:v>
                </c:pt>
                <c:pt idx="1">
                  <c:v>0.70458928890701644</c:v>
                </c:pt>
                <c:pt idx="2">
                  <c:v>0.89397548033674112</c:v>
                </c:pt>
                <c:pt idx="3">
                  <c:v>1</c:v>
                </c:pt>
              </c:numCache>
            </c:numRef>
          </c:val>
        </c:ser>
        <c:gapWidth val="50"/>
        <c:axId val="523356416"/>
        <c:axId val="523476992"/>
      </c:barChart>
      <c:catAx>
        <c:axId val="523356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476992"/>
        <c:crossesAt val="0"/>
        <c:lblAlgn val="ctr"/>
        <c:lblOffset val="100"/>
        <c:tickLblSkip val="1"/>
        <c:tickMarkSkip val="1"/>
      </c:catAx>
      <c:valAx>
        <c:axId val="523476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356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'#2-439'!$CG$51:$CJ$51</c:f>
              <c:numCache>
                <c:formatCode>0.0</c:formatCode>
                <c:ptCount val="4"/>
                <c:pt idx="0">
                  <c:v>20.409485547027153</c:v>
                </c:pt>
                <c:pt idx="1">
                  <c:v>6.55232055167233</c:v>
                </c:pt>
                <c:pt idx="2">
                  <c:v>53.736081396645183</c:v>
                </c:pt>
                <c:pt idx="3">
                  <c:v>0</c:v>
                </c:pt>
              </c:numCache>
            </c:numRef>
          </c:val>
        </c:ser>
        <c:gapWidth val="50"/>
        <c:axId val="523711232"/>
        <c:axId val="523712768"/>
      </c:barChart>
      <c:catAx>
        <c:axId val="523711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712768"/>
        <c:crossesAt val="0"/>
        <c:lblAlgn val="ctr"/>
        <c:lblOffset val="100"/>
        <c:tickLblSkip val="1"/>
        <c:tickMarkSkip val="1"/>
      </c:catAx>
      <c:valAx>
        <c:axId val="523712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711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'#2-439'!$CN$51:$CQ$51</c:f>
              <c:numCache>
                <c:formatCode>0.00</c:formatCode>
                <c:ptCount val="4"/>
                <c:pt idx="0">
                  <c:v>0.37980971102781874</c:v>
                </c:pt>
                <c:pt idx="1">
                  <c:v>0.12193521338683622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23761920"/>
        <c:axId val="523776000"/>
      </c:barChart>
      <c:catAx>
        <c:axId val="523761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776000"/>
        <c:crossesAt val="0"/>
        <c:lblAlgn val="ctr"/>
        <c:lblOffset val="100"/>
        <c:tickLblSkip val="1"/>
        <c:tickMarkSkip val="1"/>
      </c:catAx>
      <c:valAx>
        <c:axId val="523776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761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'#2-439'!$CU$51:$CX$51</c:f>
              <c:numCache>
                <c:formatCode>0.00</c:formatCode>
                <c:ptCount val="4"/>
                <c:pt idx="0">
                  <c:v>0.62019028897218131</c:v>
                </c:pt>
                <c:pt idx="1">
                  <c:v>0.67895709391720849</c:v>
                </c:pt>
                <c:pt idx="2">
                  <c:v>0.87806478661316378</c:v>
                </c:pt>
                <c:pt idx="3">
                  <c:v>1</c:v>
                </c:pt>
              </c:numCache>
            </c:numRef>
          </c:val>
        </c:ser>
        <c:gapWidth val="50"/>
        <c:axId val="523837824"/>
        <c:axId val="523839360"/>
      </c:barChart>
      <c:catAx>
        <c:axId val="52383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839360"/>
        <c:crossesAt val="0"/>
        <c:lblAlgn val="ctr"/>
        <c:lblOffset val="100"/>
        <c:tickLblSkip val="1"/>
        <c:tickMarkSkip val="1"/>
      </c:catAx>
      <c:valAx>
        <c:axId val="52383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83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'#2-439'!$BL$51:$BO$51</c:f>
              <c:numCache>
                <c:formatCode>0.0</c:formatCode>
                <c:ptCount val="4"/>
                <c:pt idx="0">
                  <c:v>22.021460000000001</c:v>
                </c:pt>
                <c:pt idx="1">
                  <c:v>8.1642950046451794</c:v>
                </c:pt>
                <c:pt idx="2">
                  <c:v>55.348055849618035</c:v>
                </c:pt>
                <c:pt idx="3">
                  <c:v>1.6119744529728492</c:v>
                </c:pt>
              </c:numCache>
            </c:numRef>
          </c:val>
        </c:ser>
        <c:gapWidth val="50"/>
        <c:axId val="523926144"/>
        <c:axId val="523940224"/>
      </c:barChart>
      <c:catAx>
        <c:axId val="523926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940224"/>
        <c:crossesAt val="0"/>
        <c:lblAlgn val="ctr"/>
        <c:lblOffset val="100"/>
        <c:tickLblSkip val="1"/>
        <c:tickMarkSkip val="1"/>
      </c:catAx>
      <c:valAx>
        <c:axId val="523940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3926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'#2-439'!$BS$51:$BV$51</c:f>
              <c:numCache>
                <c:formatCode>0.00</c:formatCode>
                <c:ptCount val="4"/>
                <c:pt idx="0">
                  <c:v>0.39787233105048575</c:v>
                </c:pt>
                <c:pt idx="1">
                  <c:v>0.14750825262639325</c:v>
                </c:pt>
                <c:pt idx="2">
                  <c:v>1</c:v>
                </c:pt>
                <c:pt idx="3">
                  <c:v>2.912431933205787E-2</c:v>
                </c:pt>
              </c:numCache>
            </c:numRef>
          </c:val>
        </c:ser>
        <c:gapWidth val="50"/>
        <c:axId val="524178560"/>
        <c:axId val="524180096"/>
      </c:barChart>
      <c:catAx>
        <c:axId val="524178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4180096"/>
        <c:crossesAt val="0"/>
        <c:lblAlgn val="ctr"/>
        <c:lblOffset val="100"/>
        <c:tickLblSkip val="1"/>
        <c:tickMarkSkip val="1"/>
      </c:catAx>
      <c:valAx>
        <c:axId val="524180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4178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'#2-439'!$BZ$51:$CC$51</c:f>
              <c:numCache>
                <c:formatCode>0.00</c:formatCode>
                <c:ptCount val="4"/>
                <c:pt idx="0">
                  <c:v>0.60212766894951431</c:v>
                </c:pt>
                <c:pt idx="1">
                  <c:v>0.62925732423530589</c:v>
                </c:pt>
                <c:pt idx="2">
                  <c:v>0.85249174737360678</c:v>
                </c:pt>
                <c:pt idx="3">
                  <c:v>0.97087568066794216</c:v>
                </c:pt>
              </c:numCache>
            </c:numRef>
          </c:val>
        </c:ser>
        <c:gapWidth val="50"/>
        <c:axId val="524213632"/>
        <c:axId val="524231808"/>
      </c:barChart>
      <c:catAx>
        <c:axId val="524213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4231808"/>
        <c:crossesAt val="0"/>
        <c:lblAlgn val="ctr"/>
        <c:lblOffset val="100"/>
        <c:tickLblSkip val="1"/>
        <c:tickMarkSkip val="1"/>
      </c:catAx>
      <c:valAx>
        <c:axId val="524231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4213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'#2-439'!$BL$34:$BO$34</c:f>
              <c:numCache>
                <c:formatCode>0.0</c:formatCode>
                <c:ptCount val="4"/>
                <c:pt idx="0">
                  <c:v>22.144146342857145</c:v>
                </c:pt>
                <c:pt idx="1">
                  <c:v>7.5188898735081828</c:v>
                </c:pt>
                <c:pt idx="2">
                  <c:v>58.319770588853359</c:v>
                </c:pt>
                <c:pt idx="3">
                  <c:v>1.0157717559634623</c:v>
                </c:pt>
              </c:numCache>
            </c:numRef>
          </c:val>
        </c:ser>
        <c:gapWidth val="50"/>
        <c:axId val="525272576"/>
        <c:axId val="525274112"/>
      </c:barChart>
      <c:scatterChart>
        <c:scatterStyle val="lineMarker"/>
        <c:ser>
          <c:idx val="1"/>
          <c:order val="1"/>
          <c:tx>
            <c:strRef>
              <c:f>'#2-439'!$BG$3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'#2-439'!$BL$3:$BO$3</c:f>
              <c:numCache>
                <c:formatCode>0.0</c:formatCode>
                <c:ptCount val="4"/>
                <c:pt idx="0">
                  <c:v>22.021460000000001</c:v>
                </c:pt>
                <c:pt idx="1">
                  <c:v>8.1642950046451794</c:v>
                </c:pt>
                <c:pt idx="2">
                  <c:v>55.348055849618035</c:v>
                </c:pt>
                <c:pt idx="3">
                  <c:v>1.6119744529728492</c:v>
                </c:pt>
              </c:numCache>
            </c:numRef>
          </c:yVal>
        </c:ser>
        <c:ser>
          <c:idx val="2"/>
          <c:order val="2"/>
          <c:tx>
            <c:strRef>
              <c:f>'#2-439'!$BG$4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'#2-439'!$BL$4:$BO$4</c:f>
              <c:numCache>
                <c:formatCode>0.0</c:formatCode>
                <c:ptCount val="4"/>
                <c:pt idx="0">
                  <c:v>22.266832685714288</c:v>
                </c:pt>
                <c:pt idx="1">
                  <c:v>6.8734847423711862</c:v>
                </c:pt>
                <c:pt idx="2">
                  <c:v>61.29148532808869</c:v>
                </c:pt>
                <c:pt idx="3">
                  <c:v>0.41956905895407526</c:v>
                </c:pt>
              </c:numCache>
            </c:numRef>
          </c:yVal>
        </c:ser>
        <c:ser>
          <c:idx val="3"/>
          <c:order val="3"/>
          <c:tx>
            <c:strRef>
              <c:f>'#2-439'!$BG$5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5272576"/>
        <c:axId val="525274112"/>
      </c:scatterChart>
      <c:catAx>
        <c:axId val="525272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5274112"/>
        <c:crossesAt val="0"/>
        <c:lblAlgn val="ctr"/>
        <c:lblOffset val="100"/>
        <c:tickLblSkip val="1"/>
        <c:tickMarkSkip val="1"/>
      </c:catAx>
      <c:valAx>
        <c:axId val="525274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5272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'#1-32D'!$BS$51:$BV$51</c:f>
              <c:numCache>
                <c:formatCode>0.00</c:formatCode>
                <c:ptCount val="4"/>
                <c:pt idx="0">
                  <c:v>0.41051839827155212</c:v>
                </c:pt>
                <c:pt idx="1">
                  <c:v>0.12604991705540036</c:v>
                </c:pt>
                <c:pt idx="2">
                  <c:v>1</c:v>
                </c:pt>
                <c:pt idx="3">
                  <c:v>4.9616090732315252E-2</c:v>
                </c:pt>
              </c:numCache>
            </c:numRef>
          </c:val>
        </c:ser>
        <c:gapWidth val="50"/>
        <c:axId val="517399680"/>
        <c:axId val="517401216"/>
      </c:barChart>
      <c:catAx>
        <c:axId val="517399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401216"/>
        <c:crossesAt val="0"/>
        <c:lblAlgn val="ctr"/>
        <c:lblOffset val="100"/>
        <c:tickLblSkip val="1"/>
        <c:tickMarkSkip val="1"/>
      </c:catAx>
      <c:valAx>
        <c:axId val="517401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7399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'#2-439'!$BS$34:$BV$34</c:f>
              <c:numCache>
                <c:formatCode>0.00</c:formatCode>
                <c:ptCount val="4"/>
                <c:pt idx="0">
                  <c:v>0.38058319664646317</c:v>
                </c:pt>
                <c:pt idx="1">
                  <c:v>0.12982622756492793</c:v>
                </c:pt>
                <c:pt idx="2">
                  <c:v>1</c:v>
                </c:pt>
                <c:pt idx="3">
                  <c:v>1.7984894950613357E-2</c:v>
                </c:pt>
              </c:numCache>
            </c:numRef>
          </c:val>
        </c:ser>
        <c:gapWidth val="50"/>
        <c:axId val="526023680"/>
        <c:axId val="526029568"/>
      </c:barChart>
      <c:scatterChart>
        <c:scatterStyle val="lineMarker"/>
        <c:ser>
          <c:idx val="1"/>
          <c:order val="1"/>
          <c:tx>
            <c:strRef>
              <c:f>'#2-439'!$BP$3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'#2-439'!$BS$3:$BV$3</c:f>
              <c:numCache>
                <c:formatCode>0.00</c:formatCode>
                <c:ptCount val="4"/>
                <c:pt idx="0">
                  <c:v>0.39787233105048575</c:v>
                </c:pt>
                <c:pt idx="1">
                  <c:v>0.14750825262639325</c:v>
                </c:pt>
                <c:pt idx="2">
                  <c:v>1</c:v>
                </c:pt>
                <c:pt idx="3">
                  <c:v>2.912431933205787E-2</c:v>
                </c:pt>
              </c:numCache>
            </c:numRef>
          </c:yVal>
        </c:ser>
        <c:ser>
          <c:idx val="2"/>
          <c:order val="2"/>
          <c:tx>
            <c:strRef>
              <c:f>'#2-439'!$BP$4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'#2-439'!$BS$4:$BV$4</c:f>
              <c:numCache>
                <c:formatCode>0.00</c:formatCode>
                <c:ptCount val="4"/>
                <c:pt idx="0">
                  <c:v>0.3632940622424406</c:v>
                </c:pt>
                <c:pt idx="1">
                  <c:v>0.11214420250346262</c:v>
                </c:pt>
                <c:pt idx="2">
                  <c:v>1</c:v>
                </c:pt>
                <c:pt idx="3">
                  <c:v>6.8454705691688459E-3</c:v>
                </c:pt>
              </c:numCache>
            </c:numRef>
          </c:yVal>
        </c:ser>
        <c:ser>
          <c:idx val="3"/>
          <c:order val="3"/>
          <c:tx>
            <c:strRef>
              <c:f>'#2-439'!$BP$5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6023680"/>
        <c:axId val="526029568"/>
      </c:scatterChart>
      <c:catAx>
        <c:axId val="526023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029568"/>
        <c:crossesAt val="0"/>
        <c:lblAlgn val="ctr"/>
        <c:lblOffset val="100"/>
        <c:tickLblSkip val="1"/>
        <c:tickMarkSkip val="1"/>
      </c:catAx>
      <c:valAx>
        <c:axId val="5260295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023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'#2-439'!$BZ$34:$CC$34</c:f>
              <c:numCache>
                <c:formatCode>0.00</c:formatCode>
                <c:ptCount val="4"/>
                <c:pt idx="0">
                  <c:v>0.61941680335353688</c:v>
                </c:pt>
                <c:pt idx="1">
                  <c:v>0.66028509562602067</c:v>
                </c:pt>
                <c:pt idx="2">
                  <c:v>0.8701737724350721</c:v>
                </c:pt>
                <c:pt idx="3">
                  <c:v>0.98201510504938661</c:v>
                </c:pt>
              </c:numCache>
            </c:numRef>
          </c:val>
        </c:ser>
        <c:gapWidth val="50"/>
        <c:axId val="526666368"/>
        <c:axId val="526680448"/>
      </c:barChart>
      <c:scatterChart>
        <c:scatterStyle val="lineMarker"/>
        <c:ser>
          <c:idx val="1"/>
          <c:order val="1"/>
          <c:tx>
            <c:strRef>
              <c:f>'#2-439'!$BW$3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'#2-439'!$BZ$3:$CC$3</c:f>
              <c:numCache>
                <c:formatCode>0.00</c:formatCode>
                <c:ptCount val="4"/>
                <c:pt idx="0">
                  <c:v>0.60212766894951431</c:v>
                </c:pt>
                <c:pt idx="1">
                  <c:v>0.62925732423530589</c:v>
                </c:pt>
                <c:pt idx="2">
                  <c:v>0.85249174737360678</c:v>
                </c:pt>
                <c:pt idx="3">
                  <c:v>0.97087568066794216</c:v>
                </c:pt>
              </c:numCache>
            </c:numRef>
          </c:yVal>
        </c:ser>
        <c:ser>
          <c:idx val="2"/>
          <c:order val="2"/>
          <c:tx>
            <c:strRef>
              <c:f>'#2-439'!$BW$4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'#2-439'!$BZ$4:$CC$4</c:f>
              <c:numCache>
                <c:formatCode>0.00</c:formatCode>
                <c:ptCount val="4"/>
                <c:pt idx="0">
                  <c:v>0.63670593775755946</c:v>
                </c:pt>
                <c:pt idx="1">
                  <c:v>0.69131286701673555</c:v>
                </c:pt>
                <c:pt idx="2">
                  <c:v>0.88785579749653742</c:v>
                </c:pt>
                <c:pt idx="3">
                  <c:v>0.99315452943083116</c:v>
                </c:pt>
              </c:numCache>
            </c:numRef>
          </c:yVal>
        </c:ser>
        <c:ser>
          <c:idx val="3"/>
          <c:order val="3"/>
          <c:tx>
            <c:strRef>
              <c:f>'#2-439'!$BW$5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6666368"/>
        <c:axId val="526680448"/>
      </c:scatterChart>
      <c:catAx>
        <c:axId val="526666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680448"/>
        <c:crossesAt val="0"/>
        <c:lblAlgn val="ctr"/>
        <c:lblOffset val="100"/>
        <c:tickLblSkip val="1"/>
        <c:tickMarkSkip val="1"/>
      </c:catAx>
      <c:valAx>
        <c:axId val="526680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4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666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'#2-439'!$CG$34:$CJ$34</c:f>
              <c:numCache>
                <c:formatCode>0.0</c:formatCode>
                <c:ptCount val="4"/>
                <c:pt idx="0">
                  <c:v>21.128374586893685</c:v>
                </c:pt>
                <c:pt idx="1">
                  <c:v>6.5031181175447204</c:v>
                </c:pt>
                <c:pt idx="2">
                  <c:v>57.303998832889903</c:v>
                </c:pt>
                <c:pt idx="3">
                  <c:v>0</c:v>
                </c:pt>
              </c:numCache>
            </c:numRef>
          </c:val>
        </c:ser>
        <c:gapWidth val="50"/>
        <c:axId val="527520128"/>
        <c:axId val="527521664"/>
      </c:barChart>
      <c:scatterChart>
        <c:scatterStyle val="lineMarker"/>
        <c:ser>
          <c:idx val="1"/>
          <c:order val="1"/>
          <c:tx>
            <c:strRef>
              <c:f>'#2-439'!$CK$3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'#2-439'!$CG$3:$CJ$3</c:f>
              <c:numCache>
                <c:formatCode>0.0</c:formatCode>
                <c:ptCount val="4"/>
                <c:pt idx="0">
                  <c:v>20.409485547027153</c:v>
                </c:pt>
                <c:pt idx="1">
                  <c:v>6.55232055167233</c:v>
                </c:pt>
                <c:pt idx="2">
                  <c:v>53.736081396645183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'#2-439'!$CK$4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'#2-439'!$CG$4:$CJ$4</c:f>
              <c:numCache>
                <c:formatCode>0.0</c:formatCode>
                <c:ptCount val="4"/>
                <c:pt idx="0">
                  <c:v>21.847263626760213</c:v>
                </c:pt>
                <c:pt idx="1">
                  <c:v>6.4539156834171107</c:v>
                </c:pt>
                <c:pt idx="2">
                  <c:v>60.871916269134616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'#2-439'!$CK$5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7520128"/>
        <c:axId val="527521664"/>
      </c:scatterChart>
      <c:catAx>
        <c:axId val="527520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7521664"/>
        <c:crossesAt val="0"/>
        <c:lblAlgn val="ctr"/>
        <c:lblOffset val="100"/>
        <c:tickLblSkip val="1"/>
        <c:tickMarkSkip val="1"/>
      </c:catAx>
      <c:valAx>
        <c:axId val="527521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7520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'#2-439'!$CN$34:$CQ$34</c:f>
              <c:numCache>
                <c:formatCode>0.00</c:formatCode>
                <c:ptCount val="4"/>
                <c:pt idx="0">
                  <c:v>0.36935758976139332</c:v>
                </c:pt>
                <c:pt idx="1">
                  <c:v>0.11397986652504755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528207232"/>
        <c:axId val="528209024"/>
      </c:barChart>
      <c:scatterChart>
        <c:scatterStyle val="lineMarker"/>
        <c:ser>
          <c:idx val="1"/>
          <c:order val="1"/>
          <c:tx>
            <c:strRef>
              <c:f>'#2-439'!$CR$3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'#2-439'!$CN$3:$CQ$3</c:f>
              <c:numCache>
                <c:formatCode>0.00</c:formatCode>
                <c:ptCount val="4"/>
                <c:pt idx="0">
                  <c:v>0.37980971102781874</c:v>
                </c:pt>
                <c:pt idx="1">
                  <c:v>0.12193521338683622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'#2-439'!$CR$4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'#2-439'!$CN$4:$CQ$4</c:f>
              <c:numCache>
                <c:formatCode>0.00</c:formatCode>
                <c:ptCount val="4"/>
                <c:pt idx="0">
                  <c:v>0.35890546849496785</c:v>
                </c:pt>
                <c:pt idx="1">
                  <c:v>0.10602451966325888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'#2-439'!$CR$5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8207232"/>
        <c:axId val="528209024"/>
      </c:scatterChart>
      <c:catAx>
        <c:axId val="528207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8209024"/>
        <c:crossesAt val="0"/>
        <c:lblAlgn val="ctr"/>
        <c:lblOffset val="100"/>
        <c:tickLblSkip val="1"/>
        <c:tickMarkSkip val="1"/>
      </c:catAx>
      <c:valAx>
        <c:axId val="528209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06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8207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'#2-439'!$CU$1:$CX$1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'#2-439'!$CU$34:$CX$34</c:f>
              <c:numCache>
                <c:formatCode>0.00</c:formatCode>
                <c:ptCount val="4"/>
                <c:pt idx="0">
                  <c:v>0.63064241023860679</c:v>
                </c:pt>
                <c:pt idx="1">
                  <c:v>0.69177319141211246</c:v>
                </c:pt>
                <c:pt idx="2">
                  <c:v>0.88602013347495245</c:v>
                </c:pt>
                <c:pt idx="3">
                  <c:v>1</c:v>
                </c:pt>
              </c:numCache>
            </c:numRef>
          </c:val>
        </c:ser>
        <c:gapWidth val="50"/>
        <c:axId val="529057664"/>
        <c:axId val="529059200"/>
      </c:barChart>
      <c:scatterChart>
        <c:scatterStyle val="lineMarker"/>
        <c:ser>
          <c:idx val="1"/>
          <c:order val="1"/>
          <c:tx>
            <c:strRef>
              <c:f>'#2-439'!$CY$3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'#2-439'!$CU$3:$CX$3</c:f>
              <c:numCache>
                <c:formatCode>0.00</c:formatCode>
                <c:ptCount val="4"/>
                <c:pt idx="0">
                  <c:v>0.62019028897218131</c:v>
                </c:pt>
                <c:pt idx="1">
                  <c:v>0.67895709391720849</c:v>
                </c:pt>
                <c:pt idx="2">
                  <c:v>0.87806478661316378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'#2-439'!$CY$4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'#2-439'!$CU$4:$CX$4</c:f>
              <c:numCache>
                <c:formatCode>0.00</c:formatCode>
                <c:ptCount val="4"/>
                <c:pt idx="0">
                  <c:v>0.64109453150503215</c:v>
                </c:pt>
                <c:pt idx="1">
                  <c:v>0.70458928890701644</c:v>
                </c:pt>
                <c:pt idx="2">
                  <c:v>0.89397548033674112</c:v>
                </c:pt>
                <c:pt idx="3">
                  <c:v>1</c:v>
                </c:pt>
              </c:numCache>
            </c:numRef>
          </c:yVal>
        </c:ser>
        <c:ser>
          <c:idx val="3"/>
          <c:order val="3"/>
          <c:tx>
            <c:strRef>
              <c:f>'#2-439'!$CY$5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9057664"/>
        <c:axId val="529059200"/>
      </c:scatterChart>
      <c:catAx>
        <c:axId val="529057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059200"/>
        <c:crossesAt val="0"/>
        <c:lblAlgn val="ctr"/>
        <c:lblOffset val="100"/>
        <c:tickLblSkip val="1"/>
        <c:tickMarkSkip val="1"/>
      </c:catAx>
      <c:valAx>
        <c:axId val="5290592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08E-2"/>
              <c:y val="0.21052638244693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057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248640"/>
        <c:axId val="529250176"/>
      </c:barChart>
      <c:catAx>
        <c:axId val="529248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50176"/>
        <c:crossesAt val="0"/>
        <c:lblAlgn val="ctr"/>
        <c:lblOffset val="100"/>
        <c:tickLblSkip val="1"/>
        <c:tickMarkSkip val="1"/>
      </c:catAx>
      <c:valAx>
        <c:axId val="529250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48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287808"/>
        <c:axId val="529289600"/>
      </c:barChart>
      <c:catAx>
        <c:axId val="529287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89600"/>
        <c:crossesAt val="0"/>
        <c:lblAlgn val="ctr"/>
        <c:lblOffset val="100"/>
        <c:tickLblSkip val="1"/>
        <c:tickMarkSkip val="1"/>
      </c:catAx>
      <c:valAx>
        <c:axId val="529289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287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454208"/>
        <c:axId val="529455744"/>
      </c:barChart>
      <c:catAx>
        <c:axId val="529454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455744"/>
        <c:crossesAt val="0"/>
        <c:lblAlgn val="ctr"/>
        <c:lblOffset val="100"/>
        <c:tickLblSkip val="1"/>
        <c:tickMarkSkip val="1"/>
      </c:catAx>
      <c:valAx>
        <c:axId val="529455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454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533952"/>
        <c:axId val="529572608"/>
      </c:barChart>
      <c:catAx>
        <c:axId val="529533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572608"/>
        <c:crossesAt val="0"/>
        <c:lblAlgn val="ctr"/>
        <c:lblOffset val="100"/>
        <c:tickLblSkip val="1"/>
        <c:tickMarkSkip val="1"/>
      </c:catAx>
      <c:valAx>
        <c:axId val="529572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533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741312"/>
        <c:axId val="529742848"/>
      </c:barChart>
      <c:catAx>
        <c:axId val="529741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742848"/>
        <c:crossesAt val="0"/>
        <c:lblAlgn val="ctr"/>
        <c:lblOffset val="100"/>
        <c:tickLblSkip val="1"/>
        <c:tickMarkSkip val="1"/>
      </c:catAx>
      <c:valAx>
        <c:axId val="529742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741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'#1-32D'!$BZ$51:$CC$51</c:f>
              <c:numCache>
                <c:formatCode>0.00</c:formatCode>
                <c:ptCount val="4"/>
                <c:pt idx="0">
                  <c:v>0.58948160172844788</c:v>
                </c:pt>
                <c:pt idx="1">
                  <c:v>0.69294940839163044</c:v>
                </c:pt>
                <c:pt idx="2">
                  <c:v>0.87395008294459964</c:v>
                </c:pt>
                <c:pt idx="3">
                  <c:v>0.95038390926768479</c:v>
                </c:pt>
              </c:numCache>
            </c:numRef>
          </c:val>
        </c:ser>
        <c:gapWidth val="50"/>
        <c:axId val="518579712"/>
        <c:axId val="518581248"/>
      </c:barChart>
      <c:catAx>
        <c:axId val="518579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581248"/>
        <c:crossesAt val="0"/>
        <c:lblAlgn val="ctr"/>
        <c:lblOffset val="100"/>
        <c:tickLblSkip val="1"/>
        <c:tickMarkSkip val="1"/>
      </c:catAx>
      <c:valAx>
        <c:axId val="518581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100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8579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29939840"/>
        <c:axId val="529949824"/>
      </c:barChart>
      <c:catAx>
        <c:axId val="529939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949824"/>
        <c:crossesAt val="0"/>
        <c:lblAlgn val="ctr"/>
        <c:lblOffset val="100"/>
        <c:tickLblSkip val="1"/>
        <c:tickMarkSkip val="1"/>
      </c:catAx>
      <c:valAx>
        <c:axId val="529949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9939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0048896"/>
        <c:axId val="530050432"/>
      </c:barChart>
      <c:catAx>
        <c:axId val="530048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050432"/>
        <c:crossesAt val="0"/>
        <c:lblAlgn val="ctr"/>
        <c:lblOffset val="100"/>
        <c:tickLblSkip val="1"/>
        <c:tickMarkSkip val="1"/>
      </c:catAx>
      <c:valAx>
        <c:axId val="530050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048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0309504"/>
        <c:axId val="530311040"/>
      </c:barChart>
      <c:catAx>
        <c:axId val="530309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311040"/>
        <c:crossesAt val="0"/>
        <c:lblAlgn val="ctr"/>
        <c:lblOffset val="100"/>
        <c:tickLblSkip val="1"/>
        <c:tickMarkSkip val="1"/>
      </c:catAx>
      <c:valAx>
        <c:axId val="530311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309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0524416"/>
        <c:axId val="530534400"/>
      </c:barChart>
      <c:catAx>
        <c:axId val="530524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534400"/>
        <c:crossesAt val="0"/>
        <c:lblAlgn val="ctr"/>
        <c:lblOffset val="100"/>
        <c:tickLblSkip val="1"/>
        <c:tickMarkSkip val="1"/>
      </c:catAx>
      <c:valAx>
        <c:axId val="530534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524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0637568"/>
        <c:axId val="530639104"/>
      </c:barChart>
      <c:catAx>
        <c:axId val="530637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639104"/>
        <c:crossesAt val="0"/>
        <c:lblAlgn val="ctr"/>
        <c:lblOffset val="100"/>
        <c:tickLblSkip val="1"/>
        <c:tickMarkSkip val="1"/>
      </c:catAx>
      <c:valAx>
        <c:axId val="530639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637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0885632"/>
        <c:axId val="530895616"/>
      </c:barChart>
      <c:catAx>
        <c:axId val="530885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895616"/>
        <c:crossesAt val="0"/>
        <c:lblAlgn val="ctr"/>
        <c:lblOffset val="100"/>
        <c:tickLblSkip val="1"/>
        <c:tickMarkSkip val="1"/>
      </c:catAx>
      <c:valAx>
        <c:axId val="530895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0885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039744"/>
        <c:axId val="531041280"/>
      </c:barChart>
      <c:catAx>
        <c:axId val="531039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041280"/>
        <c:crossesAt val="0"/>
        <c:lblAlgn val="ctr"/>
        <c:lblOffset val="100"/>
        <c:tickLblSkip val="1"/>
        <c:tickMarkSkip val="1"/>
      </c:catAx>
      <c:valAx>
        <c:axId val="531041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039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001728"/>
        <c:axId val="533003264"/>
      </c:barChart>
      <c:catAx>
        <c:axId val="533001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003264"/>
        <c:crossesAt val="0"/>
        <c:lblAlgn val="ctr"/>
        <c:lblOffset val="100"/>
        <c:tickLblSkip val="1"/>
        <c:tickMarkSkip val="1"/>
      </c:catAx>
      <c:valAx>
        <c:axId val="533003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001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282816"/>
        <c:axId val="533284352"/>
      </c:barChart>
      <c:catAx>
        <c:axId val="533282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284352"/>
        <c:crossesAt val="0"/>
        <c:lblAlgn val="ctr"/>
        <c:lblOffset val="100"/>
        <c:tickLblSkip val="1"/>
        <c:tickMarkSkip val="1"/>
      </c:catAx>
      <c:valAx>
        <c:axId val="533284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282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346560"/>
        <c:axId val="533348352"/>
      </c:barChart>
      <c:catAx>
        <c:axId val="533346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348352"/>
        <c:crossesAt val="0"/>
        <c:lblAlgn val="ctr"/>
        <c:lblOffset val="100"/>
        <c:tickLblSkip val="1"/>
        <c:tickMarkSkip val="1"/>
      </c:catAx>
      <c:valAx>
        <c:axId val="533348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346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'#1-32D'!$BL$34:$BO$34</c:f>
              <c:numCache>
                <c:formatCode>0.0</c:formatCode>
                <c:ptCount val="4"/>
                <c:pt idx="0">
                  <c:v>25.352252359999998</c:v>
                </c:pt>
                <c:pt idx="1">
                  <c:v>7.5759693846923462</c:v>
                </c:pt>
                <c:pt idx="2">
                  <c:v>62.095715861654739</c:v>
                </c:pt>
                <c:pt idx="3">
                  <c:v>2.7517600641539697</c:v>
                </c:pt>
              </c:numCache>
            </c:numRef>
          </c:val>
        </c:ser>
        <c:gapWidth val="50"/>
        <c:axId val="527023488"/>
        <c:axId val="527218176"/>
      </c:barChart>
      <c:scatterChart>
        <c:scatterStyle val="lineMarker"/>
        <c:ser>
          <c:idx val="1"/>
          <c:order val="1"/>
          <c:tx>
            <c:strRef>
              <c:f>'#1-32D'!$BG$3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'#1-32D'!$BL$3:$BO$3</c:f>
              <c:numCache>
                <c:formatCode>0.0</c:formatCode>
                <c:ptCount val="4"/>
                <c:pt idx="0">
                  <c:v>25.664969999999997</c:v>
                </c:pt>
                <c:pt idx="1">
                  <c:v>7.8804442221110556</c:v>
                </c:pt>
                <c:pt idx="2">
                  <c:v>62.518440362380495</c:v>
                </c:pt>
                <c:pt idx="3">
                  <c:v>3.1019206094627108</c:v>
                </c:pt>
              </c:numCache>
            </c:numRef>
          </c:yVal>
        </c:ser>
        <c:ser>
          <c:idx val="2"/>
          <c:order val="2"/>
          <c:tx>
            <c:strRef>
              <c:f>'#1-32D'!$BG$4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'#1-32D'!$BL$4:$BO$4</c:f>
              <c:numCache>
                <c:formatCode>0.0</c:formatCode>
                <c:ptCount val="4"/>
                <c:pt idx="0">
                  <c:v>25.039534719999999</c:v>
                </c:pt>
                <c:pt idx="1">
                  <c:v>7.2714945472736376</c:v>
                </c:pt>
                <c:pt idx="2">
                  <c:v>61.672991360928975</c:v>
                </c:pt>
                <c:pt idx="3">
                  <c:v>2.4015995188452286</c:v>
                </c:pt>
              </c:numCache>
            </c:numRef>
          </c:yVal>
        </c:ser>
        <c:ser>
          <c:idx val="3"/>
          <c:order val="3"/>
          <c:tx>
            <c:strRef>
              <c:f>'#1-32D'!$BG$5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27023488"/>
        <c:axId val="527218176"/>
      </c:scatterChart>
      <c:catAx>
        <c:axId val="527023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7218176"/>
        <c:crossesAt val="0"/>
        <c:lblAlgn val="ctr"/>
        <c:lblOffset val="100"/>
        <c:tickLblSkip val="1"/>
        <c:tickMarkSkip val="1"/>
      </c:catAx>
      <c:valAx>
        <c:axId val="527218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0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7023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590784"/>
        <c:axId val="533592320"/>
      </c:barChart>
      <c:catAx>
        <c:axId val="5335907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592320"/>
        <c:crossesAt val="0"/>
        <c:lblAlgn val="ctr"/>
        <c:lblOffset val="100"/>
        <c:tickLblSkip val="1"/>
        <c:tickMarkSkip val="1"/>
      </c:catAx>
      <c:valAx>
        <c:axId val="5335923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590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642240"/>
        <c:axId val="533644032"/>
      </c:barChart>
      <c:catAx>
        <c:axId val="533642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644032"/>
        <c:crossesAt val="0"/>
        <c:lblAlgn val="ctr"/>
        <c:lblOffset val="100"/>
        <c:tickLblSkip val="1"/>
        <c:tickMarkSkip val="1"/>
      </c:catAx>
      <c:valAx>
        <c:axId val="533644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642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3714048"/>
        <c:axId val="533715584"/>
      </c:barChart>
      <c:catAx>
        <c:axId val="533714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715584"/>
        <c:crossesAt val="0"/>
        <c:lblAlgn val="ctr"/>
        <c:lblOffset val="100"/>
        <c:tickLblSkip val="1"/>
        <c:tickMarkSkip val="1"/>
      </c:catAx>
      <c:valAx>
        <c:axId val="53371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3714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035840"/>
        <c:axId val="534037632"/>
      </c:barChart>
      <c:catAx>
        <c:axId val="534035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037632"/>
        <c:crossesAt val="0"/>
        <c:lblAlgn val="ctr"/>
        <c:lblOffset val="100"/>
        <c:tickLblSkip val="1"/>
        <c:tickMarkSkip val="1"/>
      </c:catAx>
      <c:valAx>
        <c:axId val="534037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035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280064"/>
        <c:axId val="534281600"/>
      </c:barChart>
      <c:catAx>
        <c:axId val="534280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281600"/>
        <c:crossesAt val="0"/>
        <c:lblAlgn val="ctr"/>
        <c:lblOffset val="100"/>
        <c:tickLblSkip val="1"/>
        <c:tickMarkSkip val="1"/>
      </c:catAx>
      <c:valAx>
        <c:axId val="534281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280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331776"/>
        <c:axId val="534333312"/>
      </c:barChart>
      <c:catAx>
        <c:axId val="534331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333312"/>
        <c:crossesAt val="0"/>
        <c:lblAlgn val="ctr"/>
        <c:lblOffset val="100"/>
        <c:tickLblSkip val="1"/>
        <c:tickMarkSkip val="1"/>
      </c:catAx>
      <c:valAx>
        <c:axId val="534333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331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375040"/>
        <c:axId val="534430080"/>
      </c:barChart>
      <c:catAx>
        <c:axId val="53437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430080"/>
        <c:crossesAt val="0"/>
        <c:lblAlgn val="ctr"/>
        <c:lblOffset val="100"/>
        <c:tickLblSkip val="1"/>
        <c:tickMarkSkip val="1"/>
      </c:catAx>
      <c:valAx>
        <c:axId val="534430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37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606976"/>
        <c:axId val="534608512"/>
      </c:barChart>
      <c:catAx>
        <c:axId val="534606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608512"/>
        <c:crossesAt val="0"/>
        <c:lblAlgn val="ctr"/>
        <c:lblOffset val="100"/>
        <c:tickLblSkip val="1"/>
        <c:tickMarkSkip val="1"/>
      </c:catAx>
      <c:valAx>
        <c:axId val="534608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606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678528"/>
        <c:axId val="534917888"/>
      </c:barChart>
      <c:catAx>
        <c:axId val="534678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917888"/>
        <c:crossesAt val="0"/>
        <c:lblAlgn val="ctr"/>
        <c:lblOffset val="100"/>
        <c:tickLblSkip val="1"/>
        <c:tickMarkSkip val="1"/>
      </c:catAx>
      <c:valAx>
        <c:axId val="534917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678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4980096"/>
        <c:axId val="534981632"/>
      </c:barChart>
      <c:catAx>
        <c:axId val="534980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981632"/>
        <c:crossesAt val="0"/>
        <c:lblAlgn val="ctr"/>
        <c:lblOffset val="100"/>
        <c:tickLblSkip val="1"/>
        <c:tickMarkSkip val="1"/>
      </c:catAx>
      <c:valAx>
        <c:axId val="534981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980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'#1-32D'!$BQ$33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'#1-32D'!$BS$34:$BV$34</c:f>
              <c:numCache>
                <c:formatCode>0.00</c:formatCode>
                <c:ptCount val="4"/>
                <c:pt idx="0">
                  <c:v>0.40826163316286157</c:v>
                </c:pt>
                <c:pt idx="1">
                  <c:v>0.12197697615174127</c:v>
                </c:pt>
                <c:pt idx="2">
                  <c:v>1</c:v>
                </c:pt>
                <c:pt idx="3">
                  <c:v>4.4278476959059801E-2</c:v>
                </c:pt>
              </c:numCache>
            </c:numRef>
          </c:val>
        </c:ser>
        <c:gapWidth val="50"/>
        <c:axId val="534086400"/>
        <c:axId val="534087936"/>
      </c:barChart>
      <c:scatterChart>
        <c:scatterStyle val="lineMarker"/>
        <c:ser>
          <c:idx val="1"/>
          <c:order val="1"/>
          <c:tx>
            <c:strRef>
              <c:f>'#1-32D'!$BP$3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'#1-32D'!$BS$3:$BV$3</c:f>
              <c:numCache>
                <c:formatCode>0.00</c:formatCode>
                <c:ptCount val="4"/>
                <c:pt idx="0">
                  <c:v>0.41051839827155212</c:v>
                </c:pt>
                <c:pt idx="1">
                  <c:v>0.12604991705540036</c:v>
                </c:pt>
                <c:pt idx="2">
                  <c:v>1</c:v>
                </c:pt>
                <c:pt idx="3">
                  <c:v>4.9616090732315252E-2</c:v>
                </c:pt>
              </c:numCache>
            </c:numRef>
          </c:yVal>
        </c:ser>
        <c:ser>
          <c:idx val="2"/>
          <c:order val="2"/>
          <c:tx>
            <c:strRef>
              <c:f>'#1-32D'!$BP$4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'#1-32D'!$BS$4:$BV$4</c:f>
              <c:numCache>
                <c:formatCode>0.00</c:formatCode>
                <c:ptCount val="4"/>
                <c:pt idx="0">
                  <c:v>0.40600486805417102</c:v>
                </c:pt>
                <c:pt idx="1">
                  <c:v>0.11790403524808218</c:v>
                </c:pt>
                <c:pt idx="2">
                  <c:v>1</c:v>
                </c:pt>
                <c:pt idx="3">
                  <c:v>3.8940863185804343E-2</c:v>
                </c:pt>
              </c:numCache>
            </c:numRef>
          </c:yVal>
        </c:ser>
        <c:ser>
          <c:idx val="3"/>
          <c:order val="3"/>
          <c:tx>
            <c:strRef>
              <c:f>'#1-32D'!$BP$5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34086400"/>
        <c:axId val="534087936"/>
      </c:scatterChart>
      <c:catAx>
        <c:axId val="534086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087936"/>
        <c:crossesAt val="0"/>
        <c:lblAlgn val="ctr"/>
        <c:lblOffset val="100"/>
        <c:tickLblSkip val="1"/>
        <c:tickMarkSkip val="1"/>
      </c:catAx>
      <c:valAx>
        <c:axId val="534087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4086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085056"/>
        <c:axId val="535086592"/>
      </c:barChart>
      <c:catAx>
        <c:axId val="535085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086592"/>
        <c:crossesAt val="0"/>
        <c:lblAlgn val="ctr"/>
        <c:lblOffset val="100"/>
        <c:tickLblSkip val="1"/>
        <c:tickMarkSkip val="1"/>
      </c:catAx>
      <c:valAx>
        <c:axId val="535086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085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279872"/>
        <c:axId val="535310336"/>
      </c:barChart>
      <c:catAx>
        <c:axId val="535279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310336"/>
        <c:crossesAt val="0"/>
        <c:lblAlgn val="ctr"/>
        <c:lblOffset val="100"/>
        <c:tickLblSkip val="1"/>
        <c:tickMarkSkip val="1"/>
      </c:catAx>
      <c:valAx>
        <c:axId val="535310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279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356160"/>
        <c:axId val="535357696"/>
      </c:barChart>
      <c:catAx>
        <c:axId val="535356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357696"/>
        <c:crossesAt val="0"/>
        <c:lblAlgn val="ctr"/>
        <c:lblOffset val="100"/>
        <c:tickLblSkip val="1"/>
        <c:tickMarkSkip val="1"/>
      </c:catAx>
      <c:valAx>
        <c:axId val="535357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356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428096"/>
        <c:axId val="535470848"/>
      </c:barChart>
      <c:catAx>
        <c:axId val="535428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470848"/>
        <c:crossesAt val="0"/>
        <c:lblAlgn val="ctr"/>
        <c:lblOffset val="100"/>
        <c:tickLblSkip val="1"/>
        <c:tickMarkSkip val="1"/>
      </c:catAx>
      <c:valAx>
        <c:axId val="535470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428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557248"/>
        <c:axId val="535558784"/>
      </c:barChart>
      <c:catAx>
        <c:axId val="535557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558784"/>
        <c:crossesAt val="0"/>
        <c:lblAlgn val="ctr"/>
        <c:lblOffset val="100"/>
        <c:tickLblSkip val="1"/>
        <c:tickMarkSkip val="1"/>
      </c:catAx>
      <c:valAx>
        <c:axId val="535558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557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645568"/>
        <c:axId val="535659648"/>
      </c:barChart>
      <c:catAx>
        <c:axId val="535645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659648"/>
        <c:crossesAt val="0"/>
        <c:lblAlgn val="ctr"/>
        <c:lblOffset val="100"/>
        <c:tickLblSkip val="1"/>
        <c:tickMarkSkip val="1"/>
      </c:catAx>
      <c:valAx>
        <c:axId val="535659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64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739008"/>
        <c:axId val="535785856"/>
      </c:barChart>
      <c:catAx>
        <c:axId val="535739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785856"/>
        <c:crossesAt val="0"/>
        <c:lblAlgn val="ctr"/>
        <c:lblOffset val="100"/>
        <c:tickLblSkip val="1"/>
        <c:tickMarkSkip val="1"/>
      </c:catAx>
      <c:valAx>
        <c:axId val="535785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739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860352"/>
        <c:axId val="535861888"/>
      </c:barChart>
      <c:catAx>
        <c:axId val="535860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861888"/>
        <c:crossesAt val="0"/>
        <c:lblAlgn val="ctr"/>
        <c:lblOffset val="100"/>
        <c:tickLblSkip val="1"/>
        <c:tickMarkSkip val="1"/>
      </c:catAx>
      <c:valAx>
        <c:axId val="535861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860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5969152"/>
        <c:axId val="535999616"/>
      </c:barChart>
      <c:catAx>
        <c:axId val="535969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999616"/>
        <c:crossesAt val="0"/>
        <c:lblAlgn val="ctr"/>
        <c:lblOffset val="100"/>
        <c:tickLblSkip val="1"/>
        <c:tickMarkSkip val="1"/>
      </c:catAx>
      <c:valAx>
        <c:axId val="535999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596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049536"/>
        <c:axId val="536051072"/>
      </c:barChart>
      <c:catAx>
        <c:axId val="536049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051072"/>
        <c:crossesAt val="0"/>
        <c:lblAlgn val="ctr"/>
        <c:lblOffset val="100"/>
        <c:tickLblSkip val="1"/>
        <c:tickMarkSkip val="1"/>
      </c:catAx>
      <c:valAx>
        <c:axId val="536051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049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'#1-32D'!$BZ$34:$CC$34</c:f>
              <c:numCache>
                <c:formatCode>0.00</c:formatCode>
                <c:ptCount val="4"/>
                <c:pt idx="0">
                  <c:v>0.59173836683713843</c:v>
                </c:pt>
                <c:pt idx="1">
                  <c:v>0.70127443133560052</c:v>
                </c:pt>
                <c:pt idx="2">
                  <c:v>0.8780230238482587</c:v>
                </c:pt>
                <c:pt idx="3">
                  <c:v>0.95572152304094016</c:v>
                </c:pt>
              </c:numCache>
            </c:numRef>
          </c:val>
        </c:ser>
        <c:gapWidth val="50"/>
        <c:axId val="541958528"/>
        <c:axId val="541960064"/>
      </c:barChart>
      <c:scatterChart>
        <c:scatterStyle val="lineMarker"/>
        <c:ser>
          <c:idx val="1"/>
          <c:order val="1"/>
          <c:tx>
            <c:strRef>
              <c:f>'#1-32D'!$BW$3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'#1-32D'!$BZ$3:$CC$3</c:f>
              <c:numCache>
                <c:formatCode>0.00</c:formatCode>
                <c:ptCount val="4"/>
                <c:pt idx="0">
                  <c:v>0.58948160172844788</c:v>
                </c:pt>
                <c:pt idx="1">
                  <c:v>0.69294940839163044</c:v>
                </c:pt>
                <c:pt idx="2">
                  <c:v>0.87395008294459964</c:v>
                </c:pt>
                <c:pt idx="3">
                  <c:v>0.95038390926768479</c:v>
                </c:pt>
              </c:numCache>
            </c:numRef>
          </c:yVal>
        </c:ser>
        <c:ser>
          <c:idx val="2"/>
          <c:order val="2"/>
          <c:tx>
            <c:strRef>
              <c:f>'#1-32D'!$BW$4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'#1-32D'!$BZ$4:$CC$4</c:f>
              <c:numCache>
                <c:formatCode>0.00</c:formatCode>
                <c:ptCount val="4"/>
                <c:pt idx="0">
                  <c:v>0.59399513194582898</c:v>
                </c:pt>
                <c:pt idx="1">
                  <c:v>0.70959945427957072</c:v>
                </c:pt>
                <c:pt idx="2">
                  <c:v>0.88209596475191776</c:v>
                </c:pt>
                <c:pt idx="3">
                  <c:v>0.96105913681419564</c:v>
                </c:pt>
              </c:numCache>
            </c:numRef>
          </c:yVal>
        </c:ser>
        <c:ser>
          <c:idx val="3"/>
          <c:order val="3"/>
          <c:tx>
            <c:strRef>
              <c:f>'#1-32D'!$BW$5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1958528"/>
        <c:axId val="541960064"/>
      </c:scatterChart>
      <c:catAx>
        <c:axId val="541958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1960064"/>
        <c:crossesAt val="0"/>
        <c:lblAlgn val="ctr"/>
        <c:lblOffset val="100"/>
        <c:tickLblSkip val="1"/>
        <c:tickMarkSkip val="1"/>
      </c:catAx>
      <c:valAx>
        <c:axId val="541960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3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1958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165760"/>
        <c:axId val="536179840"/>
      </c:barChart>
      <c:catAx>
        <c:axId val="536165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179840"/>
        <c:crossesAt val="0"/>
        <c:lblAlgn val="ctr"/>
        <c:lblOffset val="100"/>
        <c:tickLblSkip val="1"/>
        <c:tickMarkSkip val="1"/>
      </c:catAx>
      <c:valAx>
        <c:axId val="536179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165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348544"/>
        <c:axId val="536350080"/>
      </c:barChart>
      <c:catAx>
        <c:axId val="536348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350080"/>
        <c:crossesAt val="0"/>
        <c:lblAlgn val="ctr"/>
        <c:lblOffset val="100"/>
        <c:tickLblSkip val="1"/>
        <c:tickMarkSkip val="1"/>
      </c:catAx>
      <c:valAx>
        <c:axId val="536350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348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453504"/>
        <c:axId val="536455040"/>
      </c:barChart>
      <c:catAx>
        <c:axId val="536453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455040"/>
        <c:crossesAt val="0"/>
        <c:lblAlgn val="ctr"/>
        <c:lblOffset val="100"/>
        <c:tickLblSkip val="1"/>
        <c:tickMarkSkip val="1"/>
      </c:catAx>
      <c:valAx>
        <c:axId val="536455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453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529920"/>
        <c:axId val="536539904"/>
      </c:barChart>
      <c:catAx>
        <c:axId val="536529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539904"/>
        <c:crossesAt val="0"/>
        <c:lblAlgn val="ctr"/>
        <c:lblOffset val="100"/>
        <c:tickLblSkip val="1"/>
        <c:tickMarkSkip val="1"/>
      </c:catAx>
      <c:valAx>
        <c:axId val="536539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529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790528"/>
        <c:axId val="536792064"/>
      </c:barChart>
      <c:catAx>
        <c:axId val="536790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792064"/>
        <c:crossesAt val="0"/>
        <c:lblAlgn val="ctr"/>
        <c:lblOffset val="100"/>
        <c:tickLblSkip val="1"/>
        <c:tickMarkSkip val="1"/>
      </c:catAx>
      <c:valAx>
        <c:axId val="536792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790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858624"/>
        <c:axId val="536860160"/>
      </c:barChart>
      <c:catAx>
        <c:axId val="536858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860160"/>
        <c:crossesAt val="0"/>
        <c:lblAlgn val="ctr"/>
        <c:lblOffset val="100"/>
        <c:tickLblSkip val="1"/>
        <c:tickMarkSkip val="1"/>
      </c:catAx>
      <c:valAx>
        <c:axId val="536860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858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6950656"/>
        <c:axId val="536952192"/>
      </c:barChart>
      <c:catAx>
        <c:axId val="536950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952192"/>
        <c:crossesAt val="0"/>
        <c:lblAlgn val="ctr"/>
        <c:lblOffset val="100"/>
        <c:tickLblSkip val="1"/>
        <c:tickMarkSkip val="1"/>
      </c:catAx>
      <c:valAx>
        <c:axId val="536952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6950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169728"/>
        <c:axId val="538171264"/>
      </c:barChart>
      <c:catAx>
        <c:axId val="538169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171264"/>
        <c:crossesAt val="0"/>
        <c:lblAlgn val="ctr"/>
        <c:lblOffset val="100"/>
        <c:tickLblSkip val="1"/>
        <c:tickMarkSkip val="1"/>
      </c:catAx>
      <c:valAx>
        <c:axId val="538171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169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236800"/>
        <c:axId val="538238336"/>
      </c:barChart>
      <c:catAx>
        <c:axId val="538236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238336"/>
        <c:crossesAt val="0"/>
        <c:lblAlgn val="ctr"/>
        <c:lblOffset val="100"/>
        <c:tickLblSkip val="1"/>
        <c:tickMarkSkip val="1"/>
      </c:catAx>
      <c:valAx>
        <c:axId val="538238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236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464256"/>
        <c:axId val="538465792"/>
      </c:barChart>
      <c:catAx>
        <c:axId val="538464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465792"/>
        <c:crossesAt val="0"/>
        <c:lblAlgn val="ctr"/>
        <c:lblOffset val="100"/>
        <c:tickLblSkip val="1"/>
        <c:tickMarkSkip val="1"/>
      </c:catAx>
      <c:valAx>
        <c:axId val="5384657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3691868626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464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'#1-32D'!$CG$34:$CJ$34</c:f>
              <c:numCache>
                <c:formatCode>0.0</c:formatCode>
                <c:ptCount val="4"/>
                <c:pt idx="0">
                  <c:v>22.600492295846031</c:v>
                </c:pt>
                <c:pt idx="1">
                  <c:v>4.8242093205383769</c:v>
                </c:pt>
                <c:pt idx="2">
                  <c:v>59.343955797500769</c:v>
                </c:pt>
                <c:pt idx="3">
                  <c:v>0</c:v>
                </c:pt>
              </c:numCache>
            </c:numRef>
          </c:val>
        </c:ser>
        <c:gapWidth val="50"/>
        <c:axId val="257909504"/>
        <c:axId val="257911040"/>
      </c:barChart>
      <c:scatterChart>
        <c:scatterStyle val="lineMarker"/>
        <c:ser>
          <c:idx val="1"/>
          <c:order val="1"/>
          <c:tx>
            <c:strRef>
              <c:f>'#1-32D'!$CK$3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'#1-32D'!$CG$3:$CJ$3</c:f>
              <c:numCache>
                <c:formatCode>0.0</c:formatCode>
                <c:ptCount val="4"/>
                <c:pt idx="0">
                  <c:v>22.563049390537287</c:v>
                </c:pt>
                <c:pt idx="1">
                  <c:v>4.7785236126483444</c:v>
                </c:pt>
                <c:pt idx="2">
                  <c:v>59.416519752917786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'#1-32D'!$CK$4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'#1-32D'!$CG$4:$CJ$4</c:f>
              <c:numCache>
                <c:formatCode>0.0</c:formatCode>
                <c:ptCount val="4"/>
                <c:pt idx="0">
                  <c:v>22.637935201154772</c:v>
                </c:pt>
                <c:pt idx="1">
                  <c:v>4.8698950284284095</c:v>
                </c:pt>
                <c:pt idx="2">
                  <c:v>59.271391842083744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'#1-32D'!$CK$5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57909504"/>
        <c:axId val="257911040"/>
      </c:scatterChart>
      <c:catAx>
        <c:axId val="257909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11040"/>
        <c:crossesAt val="0"/>
        <c:lblAlgn val="ctr"/>
        <c:lblOffset val="100"/>
        <c:tickLblSkip val="1"/>
        <c:tickMarkSkip val="1"/>
      </c:catAx>
      <c:valAx>
        <c:axId val="257911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798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9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503424"/>
        <c:axId val="538513408"/>
      </c:barChart>
      <c:catAx>
        <c:axId val="538503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513408"/>
        <c:crossesAt val="0"/>
        <c:lblAlgn val="ctr"/>
        <c:lblOffset val="100"/>
        <c:tickLblSkip val="1"/>
        <c:tickMarkSkip val="1"/>
      </c:catAx>
      <c:valAx>
        <c:axId val="538513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503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653440"/>
        <c:axId val="538654976"/>
      </c:barChart>
      <c:catAx>
        <c:axId val="538653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654976"/>
        <c:crossesAt val="0"/>
        <c:lblAlgn val="ctr"/>
        <c:lblOffset val="100"/>
        <c:tickLblSkip val="1"/>
        <c:tickMarkSkip val="1"/>
      </c:catAx>
      <c:valAx>
        <c:axId val="538654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653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8868736"/>
        <c:axId val="538870528"/>
      </c:barChart>
      <c:catAx>
        <c:axId val="538868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870528"/>
        <c:crossesAt val="0"/>
        <c:lblAlgn val="ctr"/>
        <c:lblOffset val="100"/>
        <c:tickLblSkip val="1"/>
        <c:tickMarkSkip val="1"/>
      </c:catAx>
      <c:valAx>
        <c:axId val="538870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8868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9915392"/>
        <c:axId val="539916928"/>
      </c:barChart>
      <c:scatterChart>
        <c:scatterStyle val="lineMarker"/>
        <c:ser>
          <c:idx val="1"/>
          <c:order val="1"/>
          <c:tx>
            <c:strRef>
              <c:f>'#3-439'!$BG$3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39915392"/>
        <c:axId val="539916928"/>
      </c:scatterChart>
      <c:catAx>
        <c:axId val="539915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9916928"/>
        <c:crossesAt val="0"/>
        <c:lblAlgn val="ctr"/>
        <c:lblOffset val="100"/>
        <c:tickLblSkip val="1"/>
        <c:tickMarkSkip val="1"/>
      </c:catAx>
      <c:valAx>
        <c:axId val="539916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2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9915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0850816"/>
        <c:axId val="540856704"/>
      </c:barChart>
      <c:scatterChart>
        <c:scatterStyle val="lineMarker"/>
        <c:ser>
          <c:idx val="1"/>
          <c:order val="1"/>
          <c:tx>
            <c:strRef>
              <c:f>'#3-439'!$BP$3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0850816"/>
        <c:axId val="540856704"/>
      </c:scatterChart>
      <c:catAx>
        <c:axId val="540850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0856704"/>
        <c:crossesAt val="0"/>
        <c:lblAlgn val="ctr"/>
        <c:lblOffset val="100"/>
        <c:tickLblSkip val="1"/>
        <c:tickMarkSkip val="1"/>
      </c:catAx>
      <c:valAx>
        <c:axId val="540856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0850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1579520"/>
        <c:axId val="541589504"/>
      </c:barChart>
      <c:scatterChart>
        <c:scatterStyle val="lineMarker"/>
        <c:ser>
          <c:idx val="1"/>
          <c:order val="1"/>
          <c:tx>
            <c:strRef>
              <c:f>'#3-439'!$BW$3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1579520"/>
        <c:axId val="541589504"/>
      </c:scatterChart>
      <c:catAx>
        <c:axId val="541579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1589504"/>
        <c:crossesAt val="0"/>
        <c:lblAlgn val="ctr"/>
        <c:lblOffset val="100"/>
        <c:tickLblSkip val="1"/>
        <c:tickMarkSkip val="1"/>
      </c:catAx>
      <c:valAx>
        <c:axId val="5415895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1579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2285824"/>
        <c:axId val="542287360"/>
      </c:barChart>
      <c:scatterChart>
        <c:scatterStyle val="lineMarker"/>
        <c:ser>
          <c:idx val="1"/>
          <c:order val="1"/>
          <c:tx>
            <c:strRef>
              <c:f>'#3-439'!$CK$3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2285824"/>
        <c:axId val="542287360"/>
      </c:scatterChart>
      <c:catAx>
        <c:axId val="542285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2287360"/>
        <c:crossesAt val="0"/>
        <c:lblAlgn val="ctr"/>
        <c:lblOffset val="100"/>
        <c:tickLblSkip val="1"/>
        <c:tickMarkSkip val="1"/>
      </c:catAx>
      <c:valAx>
        <c:axId val="542287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2285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3099904"/>
        <c:axId val="543109888"/>
      </c:barChart>
      <c:scatterChart>
        <c:scatterStyle val="lineMarker"/>
        <c:ser>
          <c:idx val="1"/>
          <c:order val="1"/>
          <c:tx>
            <c:strRef>
              <c:f>'#3-439'!$CR$3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3099904"/>
        <c:axId val="543109888"/>
      </c:scatterChart>
      <c:catAx>
        <c:axId val="543099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109888"/>
        <c:crossesAt val="0"/>
        <c:lblAlgn val="ctr"/>
        <c:lblOffset val="100"/>
        <c:tickLblSkip val="1"/>
        <c:tickMarkSkip val="1"/>
      </c:catAx>
      <c:valAx>
        <c:axId val="543109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1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099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'#3-439'!$CU$1:$CX$1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3778304"/>
        <c:axId val="543779840"/>
      </c:barChart>
      <c:scatterChart>
        <c:scatterStyle val="lineMarker"/>
        <c:ser>
          <c:idx val="1"/>
          <c:order val="1"/>
          <c:tx>
            <c:strRef>
              <c:f>'#3-439'!$CY$3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'#3-439'!$CY$4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3778304"/>
        <c:axId val="543779840"/>
      </c:scatterChart>
      <c:catAx>
        <c:axId val="543778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779840"/>
        <c:crossesAt val="0"/>
        <c:lblAlgn val="ctr"/>
        <c:lblOffset val="100"/>
        <c:tickLblSkip val="1"/>
        <c:tickMarkSkip val="1"/>
      </c:catAx>
      <c:valAx>
        <c:axId val="543779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19E-2"/>
              <c:y val="0.2105263824469330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778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3907840"/>
        <c:axId val="543909376"/>
      </c:barChart>
      <c:catAx>
        <c:axId val="543907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909376"/>
        <c:crossesAt val="0"/>
        <c:lblAlgn val="ctr"/>
        <c:lblOffset val="100"/>
        <c:tickLblSkip val="1"/>
        <c:tickMarkSkip val="1"/>
      </c:catAx>
      <c:valAx>
        <c:axId val="5439093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907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'#1-32D'!$CN$34:$CQ$34</c:f>
              <c:numCache>
                <c:formatCode>0.00</c:formatCode>
                <c:ptCount val="4"/>
                <c:pt idx="0">
                  <c:v>0.38084033273011175</c:v>
                </c:pt>
                <c:pt idx="1">
                  <c:v>8.1293407759197439E-2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270868480"/>
        <c:axId val="270870016"/>
      </c:barChart>
      <c:scatterChart>
        <c:scatterStyle val="lineMarker"/>
        <c:ser>
          <c:idx val="1"/>
          <c:order val="1"/>
          <c:tx>
            <c:strRef>
              <c:f>'#1-32D'!$CR$3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'#1-32D'!$CN$3:$CQ$3</c:f>
              <c:numCache>
                <c:formatCode>0.00</c:formatCode>
                <c:ptCount val="4"/>
                <c:pt idx="0">
                  <c:v>0.37974370569607918</c:v>
                </c:pt>
                <c:pt idx="1">
                  <c:v>8.0424158677077071E-2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'#1-32D'!$CR$4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'#1-32D'!$CN$4:$CQ$4</c:f>
              <c:numCache>
                <c:formatCode>0.00</c:formatCode>
                <c:ptCount val="4"/>
                <c:pt idx="0">
                  <c:v>0.38193695976414432</c:v>
                </c:pt>
                <c:pt idx="1">
                  <c:v>8.2162656841317794E-2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'#1-32D'!$CR$5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70868480"/>
        <c:axId val="270870016"/>
      </c:scatterChart>
      <c:catAx>
        <c:axId val="270868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At val="0"/>
        <c:lblAlgn val="ctr"/>
        <c:lblOffset val="100"/>
        <c:tickLblSkip val="1"/>
        <c:tickMarkSkip val="1"/>
      </c:catAx>
      <c:valAx>
        <c:axId val="270870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696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68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3947008"/>
        <c:axId val="543956992"/>
      </c:barChart>
      <c:catAx>
        <c:axId val="543947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956992"/>
        <c:crossesAt val="0"/>
        <c:lblAlgn val="ctr"/>
        <c:lblOffset val="100"/>
        <c:tickLblSkip val="1"/>
        <c:tickMarkSkip val="1"/>
      </c:catAx>
      <c:valAx>
        <c:axId val="543956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3947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002816"/>
        <c:axId val="544004352"/>
      </c:barChart>
      <c:catAx>
        <c:axId val="544002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004352"/>
        <c:crossesAt val="0"/>
        <c:lblAlgn val="ctr"/>
        <c:lblOffset val="100"/>
        <c:tickLblSkip val="1"/>
        <c:tickMarkSkip val="1"/>
      </c:catAx>
      <c:valAx>
        <c:axId val="544004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002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279168"/>
        <c:axId val="544285056"/>
      </c:barChart>
      <c:catAx>
        <c:axId val="544279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285056"/>
        <c:crossesAt val="0"/>
        <c:lblAlgn val="ctr"/>
        <c:lblOffset val="100"/>
        <c:tickLblSkip val="1"/>
        <c:tickMarkSkip val="1"/>
      </c:catAx>
      <c:valAx>
        <c:axId val="544285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279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343168"/>
        <c:axId val="544344704"/>
      </c:barChart>
      <c:catAx>
        <c:axId val="544343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344704"/>
        <c:crossesAt val="0"/>
        <c:lblAlgn val="ctr"/>
        <c:lblOffset val="100"/>
        <c:tickLblSkip val="1"/>
        <c:tickMarkSkip val="1"/>
      </c:catAx>
      <c:valAx>
        <c:axId val="544344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343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402432"/>
        <c:axId val="544416512"/>
      </c:barChart>
      <c:catAx>
        <c:axId val="544402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416512"/>
        <c:crossesAt val="0"/>
        <c:lblAlgn val="ctr"/>
        <c:lblOffset val="100"/>
        <c:tickLblSkip val="1"/>
        <c:tickMarkSkip val="1"/>
      </c:catAx>
      <c:valAx>
        <c:axId val="544416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402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622080"/>
        <c:axId val="544623616"/>
      </c:barChart>
      <c:catAx>
        <c:axId val="544622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623616"/>
        <c:crossesAt val="0"/>
        <c:lblAlgn val="ctr"/>
        <c:lblOffset val="100"/>
        <c:tickLblSkip val="1"/>
        <c:tickMarkSkip val="1"/>
      </c:catAx>
      <c:valAx>
        <c:axId val="544623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25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622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686080"/>
        <c:axId val="544687616"/>
      </c:barChart>
      <c:catAx>
        <c:axId val="544686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687616"/>
        <c:crossesAt val="0"/>
        <c:lblAlgn val="ctr"/>
        <c:lblOffset val="100"/>
        <c:tickLblSkip val="1"/>
        <c:tickMarkSkip val="1"/>
      </c:catAx>
      <c:valAx>
        <c:axId val="544687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686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737152"/>
        <c:axId val="544738688"/>
      </c:barChart>
      <c:catAx>
        <c:axId val="544737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738688"/>
        <c:crossesAt val="0"/>
        <c:lblAlgn val="ctr"/>
        <c:lblOffset val="100"/>
        <c:tickLblSkip val="1"/>
        <c:tickMarkSkip val="1"/>
      </c:catAx>
      <c:valAx>
        <c:axId val="544738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737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4981376"/>
        <c:axId val="544982912"/>
      </c:barChart>
      <c:catAx>
        <c:axId val="544981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982912"/>
        <c:crossesAt val="0"/>
        <c:lblAlgn val="ctr"/>
        <c:lblOffset val="100"/>
        <c:tickLblSkip val="1"/>
        <c:tickMarkSkip val="1"/>
      </c:catAx>
      <c:valAx>
        <c:axId val="544982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7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4981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5024640"/>
        <c:axId val="545034624"/>
      </c:barChart>
      <c:catAx>
        <c:axId val="545024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034624"/>
        <c:crossesAt val="0"/>
        <c:lblAlgn val="ctr"/>
        <c:lblOffset val="100"/>
        <c:tickLblSkip val="1"/>
        <c:tickMarkSkip val="1"/>
      </c:catAx>
      <c:valAx>
        <c:axId val="545034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024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'Cohort-32D'!$BX$33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'Cohort-32D'!$BZ$33:$CC$33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'Cohort-32D'!$BZ$34:$CC$34</c:f>
              <c:numCache>
                <c:formatCode>0.00</c:formatCode>
                <c:ptCount val="4"/>
                <c:pt idx="0">
                  <c:v>0.58812992426446487</c:v>
                </c:pt>
                <c:pt idx="1">
                  <c:v>0.68444759417560785</c:v>
                </c:pt>
                <c:pt idx="2">
                  <c:v>0.87000032809740158</c:v>
                </c:pt>
                <c:pt idx="3">
                  <c:v>0.97095769534289733</c:v>
                </c:pt>
              </c:numCache>
            </c:numRef>
          </c:val>
        </c:ser>
        <c:gapWidth val="50"/>
        <c:axId val="487200640"/>
        <c:axId val="487310080"/>
      </c:barChart>
      <c:scatterChart>
        <c:scatterStyle val="lineMarker"/>
        <c:ser>
          <c:idx val="1"/>
          <c:order val="1"/>
          <c:tx>
            <c:strRef>
              <c:f>'Cohort-32D'!$BW$3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'Cohort-32D'!$BZ$3:$CC$3</c:f>
              <c:numCache>
                <c:formatCode>0.00</c:formatCode>
                <c:ptCount val="4"/>
                <c:pt idx="0">
                  <c:v>0.59173836683713843</c:v>
                </c:pt>
                <c:pt idx="1">
                  <c:v>0.70127443133560052</c:v>
                </c:pt>
                <c:pt idx="2">
                  <c:v>0.8780230238482587</c:v>
                </c:pt>
                <c:pt idx="3">
                  <c:v>0.95572152304094016</c:v>
                </c:pt>
              </c:numCache>
            </c:numRef>
          </c:yVal>
        </c:ser>
        <c:ser>
          <c:idx val="2"/>
          <c:order val="2"/>
          <c:tx>
            <c:strRef>
              <c:f>'Cohort-32D'!$BW$4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'Cohort-32D'!$BZ$4:$CC$4</c:f>
              <c:numCache>
                <c:formatCode>0.00</c:formatCode>
                <c:ptCount val="4"/>
                <c:pt idx="0">
                  <c:v>0.58812992426446487</c:v>
                </c:pt>
                <c:pt idx="1">
                  <c:v>0.68444759417560785</c:v>
                </c:pt>
                <c:pt idx="2">
                  <c:v>0.87000032809740158</c:v>
                </c:pt>
                <c:pt idx="3">
                  <c:v>0.97705707459121538</c:v>
                </c:pt>
              </c:numCache>
            </c:numRef>
          </c:yVal>
        </c:ser>
        <c:ser>
          <c:idx val="3"/>
          <c:order val="3"/>
          <c:tx>
            <c:strRef>
              <c:f>'Cohort-32D'!$BW$5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'Cohort-32D'!$BZ$5:$CC$5</c:f>
              <c:numCache>
                <c:formatCode>0.00</c:formatCode>
                <c:ptCount val="4"/>
                <c:pt idx="0">
                  <c:v>0.58144766241365486</c:v>
                </c:pt>
                <c:pt idx="1">
                  <c:v>0.65923975226481868</c:v>
                </c:pt>
                <c:pt idx="2">
                  <c:v>0.85737400175393774</c:v>
                </c:pt>
                <c:pt idx="3">
                  <c:v>0.97095769534289733</c:v>
                </c:pt>
              </c:numCache>
            </c:numRef>
          </c:yVal>
        </c:ser>
        <c:ser>
          <c:idx val="4"/>
          <c:order val="4"/>
          <c:tx>
            <c:strRef>
              <c:f>'Cohort-32D'!$BW$6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'Cohort-32D'!$BZ$6:$CC$6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'Cohort-32D'!$BZ$7:$CC$7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'Cohort-32D'!$CA$8:$CC$8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7"/>
          <c:order val="7"/>
          <c:tx>
            <c:strRef>
              <c:f>'Cohort-32D'!$BW$9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'Cohort-32D'!$CA$9:$CC$9</c:f>
              <c:numCache>
                <c:formatCode>0.00</c:formatCode>
                <c:ptCount val="3"/>
              </c:numCache>
            </c:numRef>
          </c:yVal>
        </c:ser>
        <c:ser>
          <c:idx val="8"/>
          <c:order val="8"/>
          <c:tx>
            <c:strRef>
              <c:f>'Cohort-32D'!$BW$8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'Cohort-32D'!$CA$8:$CC$8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487200640"/>
        <c:axId val="487310080"/>
      </c:scatterChart>
      <c:catAx>
        <c:axId val="487200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310080"/>
        <c:crossesAt val="0"/>
        <c:lblAlgn val="ctr"/>
        <c:lblOffset val="100"/>
        <c:tickLblSkip val="1"/>
        <c:tickMarkSkip val="1"/>
      </c:catAx>
      <c:valAx>
        <c:axId val="487310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74E-2"/>
              <c:y val="0.253344418411306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7200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'#1-32D'!$CU$1:$CX$1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'#1-32D'!$CU$34:$CX$34</c:f>
              <c:numCache>
                <c:formatCode>0.00</c:formatCode>
                <c:ptCount val="4"/>
                <c:pt idx="0">
                  <c:v>0.61915966726988825</c:v>
                </c:pt>
                <c:pt idx="1">
                  <c:v>0.78654682342247217</c:v>
                </c:pt>
                <c:pt idx="2">
                  <c:v>0.91870659224080253</c:v>
                </c:pt>
                <c:pt idx="3">
                  <c:v>1</c:v>
                </c:pt>
              </c:numCache>
            </c:numRef>
          </c:val>
        </c:ser>
        <c:gapWidth val="50"/>
        <c:axId val="271214848"/>
        <c:axId val="271216640"/>
      </c:barChart>
      <c:scatterChart>
        <c:scatterStyle val="lineMarker"/>
        <c:ser>
          <c:idx val="1"/>
          <c:order val="1"/>
          <c:tx>
            <c:strRef>
              <c:f>'#1-32D'!$CY$3</c:f>
              <c:strCache>
                <c:ptCount val="1"/>
                <c:pt idx="0">
                  <c:v>1.01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'#1-32D'!$CU$3:$CX$3</c:f>
              <c:numCache>
                <c:formatCode>0.00</c:formatCode>
                <c:ptCount val="4"/>
                <c:pt idx="0">
                  <c:v>0.62025629430392082</c:v>
                </c:pt>
                <c:pt idx="1">
                  <c:v>0.78821463668592562</c:v>
                </c:pt>
                <c:pt idx="2">
                  <c:v>0.91957584132292292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'#1-32D'!$CY$4</c:f>
              <c:strCache>
                <c:ptCount val="1"/>
                <c:pt idx="0">
                  <c:v>1.02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'#1-32D'!$CU$4:$CX$4</c:f>
              <c:numCache>
                <c:formatCode>0.00</c:formatCode>
                <c:ptCount val="4"/>
                <c:pt idx="0">
                  <c:v>0.61806304023585568</c:v>
                </c:pt>
                <c:pt idx="1">
                  <c:v>0.78487901015901862</c:v>
                </c:pt>
                <c:pt idx="2">
                  <c:v>0.91783734315868215</c:v>
                </c:pt>
                <c:pt idx="3">
                  <c:v>1</c:v>
                </c:pt>
              </c:numCache>
            </c:numRef>
          </c:yVal>
        </c:ser>
        <c:ser>
          <c:idx val="3"/>
          <c:order val="3"/>
          <c:tx>
            <c:strRef>
              <c:f>'#1-32D'!$CY$5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'#1-32D'!$CY$6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'#1-32D'!$CY$7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'#1-32D'!$CY$8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'#1-32D'!$CY$9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'#1-32D'!$CY$10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'#1-32D'!$CU$10:$CX$10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71214848"/>
        <c:axId val="271216640"/>
      </c:scatterChart>
      <c:catAx>
        <c:axId val="271214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16640"/>
        <c:crossesAt val="0"/>
        <c:lblAlgn val="ctr"/>
        <c:lblOffset val="100"/>
        <c:tickLblSkip val="1"/>
        <c:tickMarkSkip val="1"/>
      </c:catAx>
      <c:valAx>
        <c:axId val="271216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798E-2"/>
              <c:y val="0.210526382446932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14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5096832"/>
        <c:axId val="545098368"/>
      </c:barChart>
      <c:catAx>
        <c:axId val="545096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098368"/>
        <c:crossesAt val="0"/>
        <c:lblAlgn val="ctr"/>
        <c:lblOffset val="100"/>
        <c:tickLblSkip val="1"/>
        <c:tickMarkSkip val="1"/>
      </c:catAx>
      <c:valAx>
        <c:axId val="545098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096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5747328"/>
        <c:axId val="545748864"/>
      </c:barChart>
      <c:catAx>
        <c:axId val="545747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748864"/>
        <c:crossesAt val="0"/>
        <c:lblAlgn val="ctr"/>
        <c:lblOffset val="100"/>
        <c:tickLblSkip val="1"/>
        <c:tickMarkSkip val="1"/>
      </c:catAx>
      <c:valAx>
        <c:axId val="545748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747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5806976"/>
        <c:axId val="545812864"/>
      </c:barChart>
      <c:catAx>
        <c:axId val="545806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812864"/>
        <c:crossesAt val="0"/>
        <c:lblAlgn val="ctr"/>
        <c:lblOffset val="100"/>
        <c:tickLblSkip val="1"/>
        <c:tickMarkSkip val="1"/>
      </c:catAx>
      <c:valAx>
        <c:axId val="545812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806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5858688"/>
        <c:axId val="545860224"/>
      </c:barChart>
      <c:catAx>
        <c:axId val="545858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860224"/>
        <c:crossesAt val="0"/>
        <c:lblAlgn val="ctr"/>
        <c:lblOffset val="100"/>
        <c:tickLblSkip val="1"/>
        <c:tickMarkSkip val="1"/>
      </c:catAx>
      <c:valAx>
        <c:axId val="545860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5858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090368"/>
        <c:axId val="546096256"/>
      </c:barChart>
      <c:catAx>
        <c:axId val="54609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096256"/>
        <c:crossesAt val="0"/>
        <c:lblAlgn val="ctr"/>
        <c:lblOffset val="100"/>
        <c:tickLblSkip val="1"/>
        <c:tickMarkSkip val="1"/>
      </c:catAx>
      <c:valAx>
        <c:axId val="546096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09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137984"/>
        <c:axId val="546139520"/>
      </c:barChart>
      <c:catAx>
        <c:axId val="546137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139520"/>
        <c:crossesAt val="0"/>
        <c:lblAlgn val="ctr"/>
        <c:lblOffset val="100"/>
        <c:tickLblSkip val="1"/>
        <c:tickMarkSkip val="1"/>
      </c:catAx>
      <c:valAx>
        <c:axId val="546139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137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226176"/>
        <c:axId val="546227712"/>
      </c:barChart>
      <c:catAx>
        <c:axId val="54622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227712"/>
        <c:crossesAt val="0"/>
        <c:lblAlgn val="ctr"/>
        <c:lblOffset val="100"/>
        <c:tickLblSkip val="1"/>
        <c:tickMarkSkip val="1"/>
      </c:catAx>
      <c:valAx>
        <c:axId val="5462277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22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425088"/>
        <c:axId val="546439168"/>
      </c:barChart>
      <c:catAx>
        <c:axId val="546425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439168"/>
        <c:crossesAt val="0"/>
        <c:lblAlgn val="ctr"/>
        <c:lblOffset val="100"/>
        <c:tickLblSkip val="1"/>
        <c:tickMarkSkip val="1"/>
      </c:catAx>
      <c:valAx>
        <c:axId val="546439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425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501376"/>
        <c:axId val="546502912"/>
      </c:barChart>
      <c:catAx>
        <c:axId val="546501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02912"/>
        <c:crossesAt val="0"/>
        <c:lblAlgn val="ctr"/>
        <c:lblOffset val="100"/>
        <c:tickLblSkip val="1"/>
        <c:tickMarkSkip val="1"/>
      </c:catAx>
      <c:valAx>
        <c:axId val="546502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01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548736"/>
        <c:axId val="546562816"/>
      </c:barChart>
      <c:catAx>
        <c:axId val="546548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62816"/>
        <c:crossesAt val="0"/>
        <c:lblAlgn val="ctr"/>
        <c:lblOffset val="100"/>
        <c:tickLblSkip val="1"/>
        <c:tickMarkSkip val="1"/>
      </c:catAx>
      <c:valAx>
        <c:axId val="546562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48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1270656"/>
        <c:axId val="271272192"/>
      </c:barChart>
      <c:catAx>
        <c:axId val="271270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72192"/>
        <c:crossesAt val="0"/>
        <c:lblAlgn val="ctr"/>
        <c:lblOffset val="100"/>
        <c:tickLblSkip val="1"/>
        <c:tickMarkSkip val="1"/>
      </c:catAx>
      <c:valAx>
        <c:axId val="271272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70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596352"/>
        <c:axId val="546597888"/>
      </c:barChart>
      <c:catAx>
        <c:axId val="546596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97888"/>
        <c:crossesAt val="0"/>
        <c:lblAlgn val="ctr"/>
        <c:lblOffset val="100"/>
        <c:tickLblSkip val="1"/>
        <c:tickMarkSkip val="1"/>
      </c:catAx>
      <c:valAx>
        <c:axId val="546597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596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836480"/>
        <c:axId val="546838016"/>
      </c:barChart>
      <c:catAx>
        <c:axId val="546836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838016"/>
        <c:crossesAt val="0"/>
        <c:lblAlgn val="ctr"/>
        <c:lblOffset val="100"/>
        <c:tickLblSkip val="1"/>
        <c:tickMarkSkip val="1"/>
      </c:catAx>
      <c:valAx>
        <c:axId val="546838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83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887552"/>
        <c:axId val="546889088"/>
      </c:barChart>
      <c:catAx>
        <c:axId val="546887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889088"/>
        <c:crossesAt val="0"/>
        <c:lblAlgn val="ctr"/>
        <c:lblOffset val="100"/>
        <c:tickLblSkip val="1"/>
        <c:tickMarkSkip val="1"/>
      </c:catAx>
      <c:valAx>
        <c:axId val="546889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887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955648"/>
        <c:axId val="546957184"/>
      </c:barChart>
      <c:catAx>
        <c:axId val="546955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957184"/>
        <c:crossesAt val="0"/>
        <c:lblAlgn val="ctr"/>
        <c:lblOffset val="100"/>
        <c:tickLblSkip val="1"/>
        <c:tickMarkSkip val="1"/>
      </c:catAx>
      <c:valAx>
        <c:axId val="546957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95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6998912"/>
        <c:axId val="547008896"/>
      </c:barChart>
      <c:catAx>
        <c:axId val="546998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008896"/>
        <c:crossesAt val="0"/>
        <c:lblAlgn val="ctr"/>
        <c:lblOffset val="100"/>
        <c:tickLblSkip val="1"/>
        <c:tickMarkSkip val="1"/>
      </c:catAx>
      <c:valAx>
        <c:axId val="547008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69989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210368"/>
        <c:axId val="547211904"/>
      </c:barChart>
      <c:catAx>
        <c:axId val="54721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211904"/>
        <c:crossesAt val="0"/>
        <c:lblAlgn val="ctr"/>
        <c:lblOffset val="100"/>
        <c:tickLblSkip val="1"/>
        <c:tickMarkSkip val="1"/>
      </c:catAx>
      <c:valAx>
        <c:axId val="547211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21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261824"/>
        <c:axId val="547280000"/>
      </c:barChart>
      <c:catAx>
        <c:axId val="547261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280000"/>
        <c:crossesAt val="0"/>
        <c:lblAlgn val="ctr"/>
        <c:lblOffset val="100"/>
        <c:tickLblSkip val="1"/>
        <c:tickMarkSkip val="1"/>
      </c:catAx>
      <c:valAx>
        <c:axId val="547280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261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313536"/>
        <c:axId val="547315072"/>
      </c:barChart>
      <c:catAx>
        <c:axId val="547313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315072"/>
        <c:crossesAt val="0"/>
        <c:lblAlgn val="ctr"/>
        <c:lblOffset val="100"/>
        <c:tickLblSkip val="1"/>
        <c:tickMarkSkip val="1"/>
      </c:catAx>
      <c:valAx>
        <c:axId val="547315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313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442688"/>
        <c:axId val="547444224"/>
      </c:barChart>
      <c:catAx>
        <c:axId val="547442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444224"/>
        <c:crossesAt val="0"/>
        <c:lblAlgn val="ctr"/>
        <c:lblOffset val="100"/>
        <c:tickLblSkip val="1"/>
        <c:tickMarkSkip val="1"/>
      </c:catAx>
      <c:valAx>
        <c:axId val="547444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442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481856"/>
        <c:axId val="547483648"/>
      </c:barChart>
      <c:catAx>
        <c:axId val="54748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483648"/>
        <c:crossesAt val="0"/>
        <c:lblAlgn val="ctr"/>
        <c:lblOffset val="100"/>
        <c:tickLblSkip val="1"/>
        <c:tickMarkSkip val="1"/>
      </c:catAx>
      <c:valAx>
        <c:axId val="547483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48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1535104"/>
        <c:axId val="271545088"/>
      </c:barChart>
      <c:catAx>
        <c:axId val="271535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45088"/>
        <c:crossesAt val="0"/>
        <c:lblAlgn val="ctr"/>
        <c:lblOffset val="100"/>
        <c:tickLblSkip val="1"/>
        <c:tickMarkSkip val="1"/>
      </c:catAx>
      <c:valAx>
        <c:axId val="271545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35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591680"/>
        <c:axId val="547593216"/>
      </c:barChart>
      <c:catAx>
        <c:axId val="547591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593216"/>
        <c:crossesAt val="0"/>
        <c:lblAlgn val="ctr"/>
        <c:lblOffset val="100"/>
        <c:tickLblSkip val="1"/>
        <c:tickMarkSkip val="1"/>
      </c:catAx>
      <c:valAx>
        <c:axId val="547593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591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627008"/>
        <c:axId val="547628544"/>
      </c:barChart>
      <c:catAx>
        <c:axId val="547627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628544"/>
        <c:crossesAt val="0"/>
        <c:lblAlgn val="ctr"/>
        <c:lblOffset val="100"/>
        <c:tickLblSkip val="1"/>
        <c:tickMarkSkip val="1"/>
      </c:catAx>
      <c:valAx>
        <c:axId val="547628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627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666176"/>
        <c:axId val="547680256"/>
      </c:barChart>
      <c:catAx>
        <c:axId val="54766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680256"/>
        <c:crossesAt val="0"/>
        <c:lblAlgn val="ctr"/>
        <c:lblOffset val="100"/>
        <c:tickLblSkip val="1"/>
        <c:tickMarkSkip val="1"/>
      </c:catAx>
      <c:valAx>
        <c:axId val="547680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66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734272"/>
        <c:axId val="547735808"/>
      </c:barChart>
      <c:catAx>
        <c:axId val="547734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735808"/>
        <c:crossesAt val="0"/>
        <c:lblAlgn val="ctr"/>
        <c:lblOffset val="100"/>
        <c:tickLblSkip val="1"/>
        <c:tickMarkSkip val="1"/>
      </c:catAx>
      <c:valAx>
        <c:axId val="54773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734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7952896"/>
        <c:axId val="547958784"/>
      </c:barChart>
      <c:catAx>
        <c:axId val="547952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958784"/>
        <c:crossesAt val="0"/>
        <c:lblAlgn val="ctr"/>
        <c:lblOffset val="100"/>
        <c:tickLblSkip val="1"/>
        <c:tickMarkSkip val="1"/>
      </c:catAx>
      <c:valAx>
        <c:axId val="547958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7952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008704"/>
        <c:axId val="548010240"/>
      </c:barChart>
      <c:catAx>
        <c:axId val="548008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010240"/>
        <c:crossesAt val="0"/>
        <c:lblAlgn val="ctr"/>
        <c:lblOffset val="100"/>
        <c:tickLblSkip val="1"/>
        <c:tickMarkSkip val="1"/>
      </c:catAx>
      <c:valAx>
        <c:axId val="548010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008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060160"/>
        <c:axId val="548070144"/>
      </c:barChart>
      <c:catAx>
        <c:axId val="548060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070144"/>
        <c:crossesAt val="0"/>
        <c:lblAlgn val="ctr"/>
        <c:lblOffset val="100"/>
        <c:tickLblSkip val="1"/>
        <c:tickMarkSkip val="1"/>
      </c:catAx>
      <c:valAx>
        <c:axId val="548070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060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243328"/>
        <c:axId val="548244864"/>
      </c:barChart>
      <c:catAx>
        <c:axId val="548243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244864"/>
        <c:crossesAt val="0"/>
        <c:lblAlgn val="ctr"/>
        <c:lblOffset val="100"/>
        <c:tickLblSkip val="1"/>
        <c:tickMarkSkip val="1"/>
      </c:catAx>
      <c:valAx>
        <c:axId val="548244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243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352384"/>
        <c:axId val="548353920"/>
      </c:barChart>
      <c:catAx>
        <c:axId val="548352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353920"/>
        <c:crossesAt val="0"/>
        <c:lblAlgn val="ctr"/>
        <c:lblOffset val="100"/>
        <c:tickLblSkip val="1"/>
        <c:tickMarkSkip val="1"/>
      </c:catAx>
      <c:valAx>
        <c:axId val="5483539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352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399744"/>
        <c:axId val="548409728"/>
      </c:barChart>
      <c:catAx>
        <c:axId val="548399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409728"/>
        <c:crossesAt val="0"/>
        <c:lblAlgn val="ctr"/>
        <c:lblOffset val="100"/>
        <c:tickLblSkip val="1"/>
        <c:tickMarkSkip val="1"/>
      </c:catAx>
      <c:valAx>
        <c:axId val="548409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399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1578624"/>
        <c:axId val="271580160"/>
      </c:barChart>
      <c:catAx>
        <c:axId val="271578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80160"/>
        <c:crossesAt val="0"/>
        <c:lblAlgn val="ctr"/>
        <c:lblOffset val="100"/>
        <c:tickLblSkip val="1"/>
        <c:tickMarkSkip val="1"/>
      </c:catAx>
      <c:valAx>
        <c:axId val="271580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78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446976"/>
        <c:axId val="548448512"/>
      </c:barChart>
      <c:catAx>
        <c:axId val="548446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448512"/>
        <c:crossesAt val="0"/>
        <c:lblAlgn val="ctr"/>
        <c:lblOffset val="100"/>
        <c:tickLblSkip val="1"/>
        <c:tickMarkSkip val="1"/>
      </c:catAx>
      <c:valAx>
        <c:axId val="548448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446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490240"/>
        <c:axId val="548504320"/>
      </c:barChart>
      <c:catAx>
        <c:axId val="548490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504320"/>
        <c:crossesAt val="0"/>
        <c:lblAlgn val="ctr"/>
        <c:lblOffset val="100"/>
        <c:tickLblSkip val="1"/>
        <c:tickMarkSkip val="1"/>
      </c:catAx>
      <c:valAx>
        <c:axId val="5485043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490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549376"/>
        <c:axId val="548550912"/>
      </c:barChart>
      <c:catAx>
        <c:axId val="548549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550912"/>
        <c:crossesAt val="0"/>
        <c:lblAlgn val="ctr"/>
        <c:lblOffset val="100"/>
        <c:tickLblSkip val="1"/>
        <c:tickMarkSkip val="1"/>
      </c:catAx>
      <c:valAx>
        <c:axId val="548550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549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600448"/>
        <c:axId val="548614528"/>
      </c:barChart>
      <c:catAx>
        <c:axId val="548600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614528"/>
        <c:crossesAt val="0"/>
        <c:lblAlgn val="ctr"/>
        <c:lblOffset val="100"/>
        <c:tickLblSkip val="1"/>
        <c:tickMarkSkip val="1"/>
      </c:catAx>
      <c:valAx>
        <c:axId val="548614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3691868627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600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1559040"/>
        <c:axId val="91560576"/>
      </c:barChart>
      <c:catAx>
        <c:axId val="91559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560576"/>
        <c:crossesAt val="0"/>
        <c:lblAlgn val="ctr"/>
        <c:lblOffset val="100"/>
        <c:tickLblSkip val="1"/>
        <c:tickMarkSkip val="1"/>
      </c:catAx>
      <c:valAx>
        <c:axId val="915605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559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1585920"/>
        <c:axId val="91600000"/>
      </c:barChart>
      <c:catAx>
        <c:axId val="91585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600000"/>
        <c:crossesAt val="0"/>
        <c:lblAlgn val="ctr"/>
        <c:lblOffset val="100"/>
        <c:tickLblSkip val="1"/>
        <c:tickMarkSkip val="1"/>
      </c:catAx>
      <c:valAx>
        <c:axId val="91600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585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4120832"/>
        <c:axId val="334122368"/>
      </c:barChart>
      <c:catAx>
        <c:axId val="334120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4122368"/>
        <c:crossesAt val="0"/>
        <c:lblAlgn val="ctr"/>
        <c:lblOffset val="100"/>
        <c:tickLblSkip val="1"/>
        <c:tickMarkSkip val="1"/>
      </c:catAx>
      <c:valAx>
        <c:axId val="334122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5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4120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40193024"/>
        <c:axId val="440194560"/>
      </c:barChart>
      <c:scatterChart>
        <c:scatterStyle val="lineMarker"/>
        <c:ser>
          <c:idx val="1"/>
          <c:order val="1"/>
          <c:tx>
            <c:strRef>
              <c:f>'#4-439'!$BG$3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40193024"/>
        <c:axId val="440194560"/>
      </c:scatterChart>
      <c:catAx>
        <c:axId val="440193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0194560"/>
        <c:crossesAt val="0"/>
        <c:lblAlgn val="ctr"/>
        <c:lblOffset val="100"/>
        <c:tickLblSkip val="1"/>
        <c:tickMarkSkip val="1"/>
      </c:catAx>
      <c:valAx>
        <c:axId val="440194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3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0193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68776448"/>
        <c:axId val="468777984"/>
      </c:barChart>
      <c:scatterChart>
        <c:scatterStyle val="lineMarker"/>
        <c:ser>
          <c:idx val="1"/>
          <c:order val="1"/>
          <c:tx>
            <c:strRef>
              <c:f>'#4-439'!$BP$3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8776448"/>
        <c:axId val="468777984"/>
      </c:scatterChart>
      <c:catAx>
        <c:axId val="468776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777984"/>
        <c:crossesAt val="0"/>
        <c:lblAlgn val="ctr"/>
        <c:lblOffset val="100"/>
        <c:tickLblSkip val="1"/>
        <c:tickMarkSkip val="1"/>
      </c:catAx>
      <c:valAx>
        <c:axId val="468777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776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68890752"/>
        <c:axId val="468892288"/>
      </c:barChart>
      <c:scatterChart>
        <c:scatterStyle val="lineMarker"/>
        <c:ser>
          <c:idx val="1"/>
          <c:order val="1"/>
          <c:tx>
            <c:strRef>
              <c:f>'#4-439'!$BW$3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8890752"/>
        <c:axId val="468892288"/>
      </c:scatterChart>
      <c:catAx>
        <c:axId val="468890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892288"/>
        <c:crossesAt val="0"/>
        <c:lblAlgn val="ctr"/>
        <c:lblOffset val="100"/>
        <c:tickLblSkip val="1"/>
        <c:tickMarkSkip val="1"/>
      </c:catAx>
      <c:valAx>
        <c:axId val="468892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8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88907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93498240"/>
        <c:axId val="293500032"/>
      </c:barChart>
      <c:catAx>
        <c:axId val="293498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3500032"/>
        <c:crossesAt val="0"/>
        <c:lblAlgn val="ctr"/>
        <c:lblOffset val="100"/>
        <c:tickLblSkip val="1"/>
        <c:tickMarkSkip val="1"/>
      </c:catAx>
      <c:valAx>
        <c:axId val="293500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3498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69297792"/>
        <c:axId val="469303680"/>
      </c:barChart>
      <c:scatterChart>
        <c:scatterStyle val="lineMarker"/>
        <c:ser>
          <c:idx val="1"/>
          <c:order val="1"/>
          <c:tx>
            <c:strRef>
              <c:f>'#4-439'!$CK$3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9297792"/>
        <c:axId val="469303680"/>
      </c:scatterChart>
      <c:catAx>
        <c:axId val="469297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303680"/>
        <c:crossesAt val="0"/>
        <c:lblAlgn val="ctr"/>
        <c:lblOffset val="100"/>
        <c:tickLblSkip val="1"/>
        <c:tickMarkSkip val="1"/>
      </c:catAx>
      <c:valAx>
        <c:axId val="469303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297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69677952"/>
        <c:axId val="469679488"/>
      </c:barChart>
      <c:scatterChart>
        <c:scatterStyle val="lineMarker"/>
        <c:ser>
          <c:idx val="1"/>
          <c:order val="1"/>
          <c:tx>
            <c:strRef>
              <c:f>'#4-439'!$CR$3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69677952"/>
        <c:axId val="469679488"/>
      </c:scatterChart>
      <c:catAx>
        <c:axId val="469677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679488"/>
        <c:crossesAt val="0"/>
        <c:lblAlgn val="ctr"/>
        <c:lblOffset val="100"/>
        <c:tickLblSkip val="1"/>
        <c:tickMarkSkip val="1"/>
      </c:catAx>
      <c:valAx>
        <c:axId val="4696794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27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69677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'#4-439'!$CU$1:$CX$1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266240"/>
        <c:axId val="470267776"/>
      </c:barChart>
      <c:scatterChart>
        <c:scatterStyle val="lineMarker"/>
        <c:ser>
          <c:idx val="1"/>
          <c:order val="1"/>
          <c:tx>
            <c:strRef>
              <c:f>'#4-439'!$CY$3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'#4-439'!$CY$4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0266240"/>
        <c:axId val="470267776"/>
      </c:scatterChart>
      <c:catAx>
        <c:axId val="470266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267776"/>
        <c:crossesAt val="0"/>
        <c:lblAlgn val="ctr"/>
        <c:lblOffset val="100"/>
        <c:tickLblSkip val="1"/>
        <c:tickMarkSkip val="1"/>
      </c:catAx>
      <c:valAx>
        <c:axId val="4702677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6E-2"/>
              <c:y val="0.210526382446933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266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284928"/>
        <c:axId val="470286720"/>
      </c:barChart>
      <c:catAx>
        <c:axId val="4702849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286720"/>
        <c:crossesAt val="0"/>
        <c:lblAlgn val="ctr"/>
        <c:lblOffset val="100"/>
        <c:tickLblSkip val="1"/>
        <c:tickMarkSkip val="1"/>
      </c:catAx>
      <c:valAx>
        <c:axId val="470286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2849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320256"/>
        <c:axId val="470321792"/>
      </c:barChart>
      <c:catAx>
        <c:axId val="470320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321792"/>
        <c:crossesAt val="0"/>
        <c:lblAlgn val="ctr"/>
        <c:lblOffset val="100"/>
        <c:tickLblSkip val="1"/>
        <c:tickMarkSkip val="1"/>
      </c:catAx>
      <c:valAx>
        <c:axId val="4703217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320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691200"/>
        <c:axId val="470705280"/>
      </c:barChart>
      <c:catAx>
        <c:axId val="470691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05280"/>
        <c:crossesAt val="0"/>
        <c:lblAlgn val="ctr"/>
        <c:lblOffset val="100"/>
        <c:tickLblSkip val="1"/>
        <c:tickMarkSkip val="1"/>
      </c:catAx>
      <c:valAx>
        <c:axId val="470705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691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0730240"/>
        <c:axId val="470731776"/>
      </c:barChart>
      <c:catAx>
        <c:axId val="470730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31776"/>
        <c:crossesAt val="0"/>
        <c:lblAlgn val="ctr"/>
        <c:lblOffset val="100"/>
        <c:tickLblSkip val="1"/>
        <c:tickMarkSkip val="1"/>
      </c:catAx>
      <c:valAx>
        <c:axId val="4707317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0730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604672"/>
        <c:axId val="472606208"/>
      </c:barChart>
      <c:catAx>
        <c:axId val="472604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06208"/>
        <c:crossesAt val="0"/>
        <c:lblAlgn val="ctr"/>
        <c:lblOffset val="100"/>
        <c:tickLblSkip val="1"/>
        <c:tickMarkSkip val="1"/>
      </c:catAx>
      <c:valAx>
        <c:axId val="472606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04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639360"/>
        <c:axId val="472640896"/>
      </c:barChart>
      <c:catAx>
        <c:axId val="472639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40896"/>
        <c:crossesAt val="0"/>
        <c:lblAlgn val="ctr"/>
        <c:lblOffset val="100"/>
        <c:tickLblSkip val="1"/>
        <c:tickMarkSkip val="1"/>
      </c:catAx>
      <c:valAx>
        <c:axId val="472640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39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695168"/>
        <c:axId val="472696704"/>
      </c:barChart>
      <c:catAx>
        <c:axId val="472695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96704"/>
        <c:crossesAt val="0"/>
        <c:lblAlgn val="ctr"/>
        <c:lblOffset val="100"/>
        <c:tickLblSkip val="1"/>
        <c:tickMarkSkip val="1"/>
      </c:catAx>
      <c:valAx>
        <c:axId val="472696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9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695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93533568"/>
        <c:axId val="293535104"/>
      </c:barChart>
      <c:catAx>
        <c:axId val="293533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3535104"/>
        <c:crossesAt val="0"/>
        <c:lblAlgn val="ctr"/>
        <c:lblOffset val="100"/>
        <c:tickLblSkip val="1"/>
        <c:tickMarkSkip val="1"/>
      </c:catAx>
      <c:valAx>
        <c:axId val="293535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3533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853120"/>
        <c:axId val="472859008"/>
      </c:barChart>
      <c:catAx>
        <c:axId val="472853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859008"/>
        <c:crossesAt val="0"/>
        <c:lblAlgn val="ctr"/>
        <c:lblOffset val="100"/>
        <c:tickLblSkip val="1"/>
        <c:tickMarkSkip val="1"/>
      </c:catAx>
      <c:valAx>
        <c:axId val="4728590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853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904448"/>
        <c:axId val="472905984"/>
      </c:barChart>
      <c:catAx>
        <c:axId val="472904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05984"/>
        <c:crossesAt val="0"/>
        <c:lblAlgn val="ctr"/>
        <c:lblOffset val="100"/>
        <c:tickLblSkip val="1"/>
        <c:tickMarkSkip val="1"/>
      </c:catAx>
      <c:valAx>
        <c:axId val="472905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9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0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804352"/>
        <c:axId val="472814336"/>
      </c:barChart>
      <c:catAx>
        <c:axId val="472804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814336"/>
        <c:crossesAt val="0"/>
        <c:lblAlgn val="ctr"/>
        <c:lblOffset val="100"/>
        <c:tickLblSkip val="1"/>
        <c:tickMarkSkip val="1"/>
      </c:catAx>
      <c:valAx>
        <c:axId val="472814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5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804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917504"/>
        <c:axId val="472919040"/>
      </c:barChart>
      <c:catAx>
        <c:axId val="472917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19040"/>
        <c:crossesAt val="0"/>
        <c:lblAlgn val="ctr"/>
        <c:lblOffset val="100"/>
        <c:tickLblSkip val="1"/>
        <c:tickMarkSkip val="1"/>
      </c:catAx>
      <c:valAx>
        <c:axId val="472919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17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2961024"/>
        <c:axId val="472962560"/>
      </c:barChart>
      <c:catAx>
        <c:axId val="472961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62560"/>
        <c:crossesAt val="0"/>
        <c:lblAlgn val="ctr"/>
        <c:lblOffset val="100"/>
        <c:tickLblSkip val="1"/>
        <c:tickMarkSkip val="1"/>
      </c:catAx>
      <c:valAx>
        <c:axId val="472962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2961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553344"/>
        <c:axId val="474555136"/>
      </c:barChart>
      <c:catAx>
        <c:axId val="474553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555136"/>
        <c:crossesAt val="0"/>
        <c:lblAlgn val="ctr"/>
        <c:lblOffset val="100"/>
        <c:tickLblSkip val="1"/>
        <c:tickMarkSkip val="1"/>
      </c:catAx>
      <c:valAx>
        <c:axId val="474555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553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596864"/>
        <c:axId val="474598400"/>
      </c:barChart>
      <c:catAx>
        <c:axId val="474596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598400"/>
        <c:crossesAt val="0"/>
        <c:lblAlgn val="ctr"/>
        <c:lblOffset val="100"/>
        <c:tickLblSkip val="1"/>
        <c:tickMarkSkip val="1"/>
      </c:catAx>
      <c:valAx>
        <c:axId val="474598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59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640384"/>
        <c:axId val="474641920"/>
      </c:barChart>
      <c:catAx>
        <c:axId val="474640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641920"/>
        <c:crossesAt val="0"/>
        <c:lblAlgn val="ctr"/>
        <c:lblOffset val="100"/>
        <c:tickLblSkip val="1"/>
        <c:tickMarkSkip val="1"/>
      </c:catAx>
      <c:valAx>
        <c:axId val="4746419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640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683648"/>
        <c:axId val="474685440"/>
      </c:barChart>
      <c:catAx>
        <c:axId val="474683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685440"/>
        <c:crossesAt val="0"/>
        <c:lblAlgn val="ctr"/>
        <c:lblOffset val="100"/>
        <c:tickLblSkip val="1"/>
        <c:tickMarkSkip val="1"/>
      </c:catAx>
      <c:valAx>
        <c:axId val="474685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7069049586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683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718976"/>
        <c:axId val="474720512"/>
      </c:barChart>
      <c:catAx>
        <c:axId val="474718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720512"/>
        <c:crossesAt val="0"/>
        <c:lblAlgn val="ctr"/>
        <c:lblOffset val="100"/>
        <c:tickLblSkip val="1"/>
        <c:tickMarkSkip val="1"/>
      </c:catAx>
      <c:valAx>
        <c:axId val="474720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718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98360832"/>
        <c:axId val="298362368"/>
      </c:barChart>
      <c:catAx>
        <c:axId val="298360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362368"/>
        <c:crossesAt val="0"/>
        <c:lblAlgn val="ctr"/>
        <c:lblOffset val="100"/>
        <c:tickLblSkip val="1"/>
        <c:tickMarkSkip val="1"/>
      </c:catAx>
      <c:valAx>
        <c:axId val="298362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360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835584"/>
        <c:axId val="474841472"/>
      </c:barChart>
      <c:catAx>
        <c:axId val="474835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41472"/>
        <c:crossesAt val="0"/>
        <c:lblAlgn val="ctr"/>
        <c:lblOffset val="100"/>
        <c:tickLblSkip val="1"/>
        <c:tickMarkSkip val="1"/>
      </c:catAx>
      <c:valAx>
        <c:axId val="474841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355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866816"/>
        <c:axId val="474868352"/>
      </c:barChart>
      <c:catAx>
        <c:axId val="474866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68352"/>
        <c:crossesAt val="0"/>
        <c:lblAlgn val="ctr"/>
        <c:lblOffset val="100"/>
        <c:tickLblSkip val="1"/>
        <c:tickMarkSkip val="1"/>
      </c:catAx>
      <c:valAx>
        <c:axId val="474868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66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787200"/>
        <c:axId val="474788992"/>
      </c:barChart>
      <c:catAx>
        <c:axId val="474787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788992"/>
        <c:crossesAt val="0"/>
        <c:lblAlgn val="ctr"/>
        <c:lblOffset val="100"/>
        <c:tickLblSkip val="1"/>
        <c:tickMarkSkip val="1"/>
      </c:catAx>
      <c:valAx>
        <c:axId val="474788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787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957696"/>
        <c:axId val="474959232"/>
      </c:barChart>
      <c:catAx>
        <c:axId val="474957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959232"/>
        <c:crossesAt val="0"/>
        <c:lblAlgn val="ctr"/>
        <c:lblOffset val="100"/>
        <c:tickLblSkip val="1"/>
        <c:tickMarkSkip val="1"/>
      </c:catAx>
      <c:valAx>
        <c:axId val="474959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957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882432"/>
        <c:axId val="474883968"/>
      </c:barChart>
      <c:catAx>
        <c:axId val="474882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83968"/>
        <c:crossesAt val="0"/>
        <c:lblAlgn val="ctr"/>
        <c:lblOffset val="100"/>
        <c:tickLblSkip val="1"/>
        <c:tickMarkSkip val="1"/>
      </c:catAx>
      <c:valAx>
        <c:axId val="474883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882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4909312"/>
        <c:axId val="474931584"/>
      </c:barChart>
      <c:catAx>
        <c:axId val="474909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931584"/>
        <c:crossesAt val="0"/>
        <c:lblAlgn val="ctr"/>
        <c:lblOffset val="100"/>
        <c:tickLblSkip val="1"/>
        <c:tickMarkSkip val="1"/>
      </c:catAx>
      <c:valAx>
        <c:axId val="474931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4909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353856"/>
        <c:axId val="475355392"/>
      </c:barChart>
      <c:catAx>
        <c:axId val="475353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355392"/>
        <c:crossesAt val="0"/>
        <c:lblAlgn val="ctr"/>
        <c:lblOffset val="100"/>
        <c:tickLblSkip val="1"/>
        <c:tickMarkSkip val="1"/>
      </c:catAx>
      <c:valAx>
        <c:axId val="475355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353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380736"/>
        <c:axId val="475390720"/>
      </c:barChart>
      <c:catAx>
        <c:axId val="475380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390720"/>
        <c:crossesAt val="0"/>
        <c:lblAlgn val="ctr"/>
        <c:lblOffset val="100"/>
        <c:tickLblSkip val="1"/>
        <c:tickMarkSkip val="1"/>
      </c:catAx>
      <c:valAx>
        <c:axId val="475390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380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039232"/>
        <c:axId val="475040768"/>
      </c:barChart>
      <c:catAx>
        <c:axId val="475039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040768"/>
        <c:crossesAt val="0"/>
        <c:lblAlgn val="ctr"/>
        <c:lblOffset val="100"/>
        <c:tickLblSkip val="1"/>
        <c:tickMarkSkip val="1"/>
      </c:catAx>
      <c:valAx>
        <c:axId val="475040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039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414528"/>
        <c:axId val="475416064"/>
      </c:barChart>
      <c:catAx>
        <c:axId val="475414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416064"/>
        <c:crossesAt val="0"/>
        <c:lblAlgn val="ctr"/>
        <c:lblOffset val="100"/>
        <c:tickLblSkip val="1"/>
        <c:tickMarkSkip val="1"/>
      </c:catAx>
      <c:valAx>
        <c:axId val="475416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414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98506496"/>
        <c:axId val="298516480"/>
      </c:barChart>
      <c:catAx>
        <c:axId val="298506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516480"/>
        <c:crossesAt val="0"/>
        <c:lblAlgn val="ctr"/>
        <c:lblOffset val="100"/>
        <c:tickLblSkip val="1"/>
        <c:tickMarkSkip val="1"/>
      </c:catAx>
      <c:valAx>
        <c:axId val="298516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E-2"/>
              <c:y val="0.1356857069049588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506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461888"/>
        <c:axId val="475463680"/>
      </c:barChart>
      <c:catAx>
        <c:axId val="4754618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463680"/>
        <c:crossesAt val="0"/>
        <c:lblAlgn val="ctr"/>
        <c:lblOffset val="100"/>
        <c:tickLblSkip val="1"/>
        <c:tickMarkSkip val="1"/>
      </c:catAx>
      <c:valAx>
        <c:axId val="475463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4618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501312"/>
        <c:axId val="475502848"/>
      </c:barChart>
      <c:catAx>
        <c:axId val="475501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02848"/>
        <c:crossesAt val="0"/>
        <c:lblAlgn val="ctr"/>
        <c:lblOffset val="100"/>
        <c:tickLblSkip val="1"/>
        <c:tickMarkSkip val="1"/>
      </c:catAx>
      <c:valAx>
        <c:axId val="475502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01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540096"/>
        <c:axId val="475550080"/>
      </c:barChart>
      <c:catAx>
        <c:axId val="475540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50080"/>
        <c:crossesAt val="0"/>
        <c:lblAlgn val="ctr"/>
        <c:lblOffset val="100"/>
        <c:tickLblSkip val="1"/>
        <c:tickMarkSkip val="1"/>
      </c:catAx>
      <c:valAx>
        <c:axId val="475550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3691868628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40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591808"/>
        <c:axId val="475593344"/>
      </c:barChart>
      <c:catAx>
        <c:axId val="475591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93344"/>
        <c:crossesAt val="0"/>
        <c:lblAlgn val="ctr"/>
        <c:lblOffset val="100"/>
        <c:tickLblSkip val="1"/>
        <c:tickMarkSkip val="1"/>
      </c:catAx>
      <c:valAx>
        <c:axId val="475593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591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623808"/>
        <c:axId val="475625344"/>
      </c:barChart>
      <c:catAx>
        <c:axId val="475623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625344"/>
        <c:crossesAt val="0"/>
        <c:lblAlgn val="ctr"/>
        <c:lblOffset val="100"/>
        <c:tickLblSkip val="1"/>
        <c:tickMarkSkip val="1"/>
      </c:catAx>
      <c:valAx>
        <c:axId val="475625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623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658880"/>
        <c:axId val="475726208"/>
      </c:barChart>
      <c:catAx>
        <c:axId val="475658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726208"/>
        <c:crossesAt val="0"/>
        <c:lblAlgn val="ctr"/>
        <c:lblOffset val="100"/>
        <c:tickLblSkip val="1"/>
        <c:tickMarkSkip val="1"/>
      </c:catAx>
      <c:valAx>
        <c:axId val="475726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658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767936"/>
        <c:axId val="475769472"/>
      </c:barChart>
      <c:catAx>
        <c:axId val="475767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769472"/>
        <c:crossesAt val="0"/>
        <c:lblAlgn val="ctr"/>
        <c:lblOffset val="100"/>
        <c:tickLblSkip val="1"/>
        <c:tickMarkSkip val="1"/>
      </c:catAx>
      <c:valAx>
        <c:axId val="475769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767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5815296"/>
        <c:axId val="475817088"/>
      </c:barChart>
      <c:catAx>
        <c:axId val="475815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817088"/>
        <c:crossesAt val="0"/>
        <c:lblAlgn val="ctr"/>
        <c:lblOffset val="100"/>
        <c:tickLblSkip val="1"/>
        <c:tickMarkSkip val="1"/>
      </c:catAx>
      <c:valAx>
        <c:axId val="475817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5815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6910720"/>
        <c:axId val="476912256"/>
      </c:barChart>
      <c:catAx>
        <c:axId val="476910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12256"/>
        <c:crossesAt val="0"/>
        <c:lblAlgn val="ctr"/>
        <c:lblOffset val="100"/>
        <c:tickLblSkip val="1"/>
        <c:tickMarkSkip val="1"/>
      </c:catAx>
      <c:valAx>
        <c:axId val="476912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3691868628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10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6945792"/>
        <c:axId val="476951680"/>
      </c:barChart>
      <c:catAx>
        <c:axId val="476945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51680"/>
        <c:crossesAt val="0"/>
        <c:lblAlgn val="ctr"/>
        <c:lblOffset val="100"/>
        <c:tickLblSkip val="1"/>
        <c:tickMarkSkip val="1"/>
      </c:catAx>
      <c:valAx>
        <c:axId val="476951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45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98541824"/>
        <c:axId val="298543360"/>
      </c:barChart>
      <c:catAx>
        <c:axId val="298541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543360"/>
        <c:crossesAt val="0"/>
        <c:lblAlgn val="ctr"/>
        <c:lblOffset val="100"/>
        <c:tickLblSkip val="1"/>
        <c:tickMarkSkip val="1"/>
      </c:catAx>
      <c:valAx>
        <c:axId val="298543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98541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6993408"/>
        <c:axId val="476994944"/>
      </c:barChart>
      <c:catAx>
        <c:axId val="476993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94944"/>
        <c:crossesAt val="0"/>
        <c:lblAlgn val="ctr"/>
        <c:lblOffset val="100"/>
        <c:tickLblSkip val="1"/>
        <c:tickMarkSkip val="1"/>
      </c:catAx>
      <c:valAx>
        <c:axId val="476994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6993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029120"/>
        <c:axId val="477030656"/>
      </c:barChart>
      <c:catAx>
        <c:axId val="477029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030656"/>
        <c:crossesAt val="0"/>
        <c:lblAlgn val="ctr"/>
        <c:lblOffset val="100"/>
        <c:tickLblSkip val="1"/>
        <c:tickMarkSkip val="1"/>
      </c:catAx>
      <c:valAx>
        <c:axId val="477030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029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080576"/>
        <c:axId val="477082368"/>
      </c:barChart>
      <c:catAx>
        <c:axId val="477080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082368"/>
        <c:crossesAt val="0"/>
        <c:lblAlgn val="ctr"/>
        <c:lblOffset val="100"/>
        <c:tickLblSkip val="1"/>
        <c:tickMarkSkip val="1"/>
      </c:catAx>
      <c:valAx>
        <c:axId val="477082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08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3314816"/>
        <c:axId val="473316352"/>
      </c:barChart>
      <c:catAx>
        <c:axId val="473314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3316352"/>
        <c:crossesAt val="0"/>
        <c:lblAlgn val="ctr"/>
        <c:lblOffset val="100"/>
        <c:tickLblSkip val="1"/>
        <c:tickMarkSkip val="1"/>
      </c:catAx>
      <c:valAx>
        <c:axId val="473316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3314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3357696"/>
        <c:axId val="473363584"/>
      </c:barChart>
      <c:catAx>
        <c:axId val="473357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3363584"/>
        <c:crossesAt val="0"/>
        <c:lblAlgn val="ctr"/>
        <c:lblOffset val="100"/>
        <c:tickLblSkip val="1"/>
        <c:tickMarkSkip val="1"/>
      </c:catAx>
      <c:valAx>
        <c:axId val="473363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3691868628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3357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132672"/>
        <c:axId val="477134208"/>
      </c:barChart>
      <c:catAx>
        <c:axId val="477132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134208"/>
        <c:crossesAt val="0"/>
        <c:lblAlgn val="ctr"/>
        <c:lblOffset val="100"/>
        <c:tickLblSkip val="1"/>
        <c:tickMarkSkip val="1"/>
      </c:catAx>
      <c:valAx>
        <c:axId val="477134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132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179264"/>
        <c:axId val="477185152"/>
      </c:barChart>
      <c:catAx>
        <c:axId val="477179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185152"/>
        <c:crossesAt val="0"/>
        <c:lblAlgn val="ctr"/>
        <c:lblOffset val="100"/>
        <c:tickLblSkip val="1"/>
        <c:tickMarkSkip val="1"/>
      </c:catAx>
      <c:valAx>
        <c:axId val="4771851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17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214208"/>
        <c:axId val="477215744"/>
      </c:barChart>
      <c:catAx>
        <c:axId val="477214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215744"/>
        <c:crossesAt val="0"/>
        <c:lblAlgn val="ctr"/>
        <c:lblOffset val="100"/>
        <c:tickLblSkip val="1"/>
        <c:tickMarkSkip val="1"/>
      </c:catAx>
      <c:valAx>
        <c:axId val="477215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3691868628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214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261824"/>
        <c:axId val="477263360"/>
      </c:barChart>
      <c:catAx>
        <c:axId val="477261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263360"/>
        <c:crossesAt val="0"/>
        <c:lblAlgn val="ctr"/>
        <c:lblOffset val="100"/>
        <c:tickLblSkip val="1"/>
        <c:tickMarkSkip val="1"/>
      </c:catAx>
      <c:valAx>
        <c:axId val="477263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261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309184"/>
        <c:axId val="477315072"/>
      </c:barChart>
      <c:catAx>
        <c:axId val="477309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315072"/>
        <c:crossesAt val="0"/>
        <c:lblAlgn val="ctr"/>
        <c:lblOffset val="100"/>
        <c:tickLblSkip val="1"/>
        <c:tickMarkSkip val="1"/>
      </c:catAx>
      <c:valAx>
        <c:axId val="477315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309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12949376"/>
        <c:axId val="312951168"/>
      </c:barChart>
      <c:catAx>
        <c:axId val="312949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2951168"/>
        <c:crossesAt val="0"/>
        <c:lblAlgn val="ctr"/>
        <c:lblOffset val="100"/>
        <c:tickLblSkip val="1"/>
        <c:tickMarkSkip val="1"/>
      </c:catAx>
      <c:valAx>
        <c:axId val="312951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888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2949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348608"/>
        <c:axId val="477350144"/>
      </c:barChart>
      <c:catAx>
        <c:axId val="477348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350144"/>
        <c:crossesAt val="0"/>
        <c:lblAlgn val="ctr"/>
        <c:lblOffset val="100"/>
        <c:tickLblSkip val="1"/>
        <c:tickMarkSkip val="1"/>
      </c:catAx>
      <c:valAx>
        <c:axId val="477350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348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719168"/>
        <c:axId val="477725056"/>
      </c:barChart>
      <c:scatterChart>
        <c:scatterStyle val="lineMarker"/>
        <c:ser>
          <c:idx val="1"/>
          <c:order val="1"/>
          <c:tx>
            <c:strRef>
              <c:f>'#5-439'!$BG$3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7719168"/>
        <c:axId val="477725056"/>
      </c:scatterChart>
      <c:catAx>
        <c:axId val="477719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725056"/>
        <c:crossesAt val="0"/>
        <c:lblAlgn val="ctr"/>
        <c:lblOffset val="100"/>
        <c:tickLblSkip val="1"/>
        <c:tickMarkSkip val="1"/>
      </c:catAx>
      <c:valAx>
        <c:axId val="477725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46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719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7995392"/>
        <c:axId val="477996928"/>
      </c:barChart>
      <c:scatterChart>
        <c:scatterStyle val="lineMarker"/>
        <c:ser>
          <c:idx val="1"/>
          <c:order val="1"/>
          <c:tx>
            <c:strRef>
              <c:f>'#5-439'!$BP$3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7995392"/>
        <c:axId val="477996928"/>
      </c:scatterChart>
      <c:catAx>
        <c:axId val="477995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996928"/>
        <c:crossesAt val="0"/>
        <c:lblAlgn val="ctr"/>
        <c:lblOffset val="100"/>
        <c:tickLblSkip val="1"/>
        <c:tickMarkSkip val="1"/>
      </c:catAx>
      <c:valAx>
        <c:axId val="477996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7995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8507008"/>
        <c:axId val="478508544"/>
      </c:barChart>
      <c:scatterChart>
        <c:scatterStyle val="lineMarker"/>
        <c:ser>
          <c:idx val="1"/>
          <c:order val="1"/>
          <c:tx>
            <c:strRef>
              <c:f>'#5-439'!$BW$3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8507008"/>
        <c:axId val="478508544"/>
      </c:scatterChart>
      <c:catAx>
        <c:axId val="478507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8508544"/>
        <c:crossesAt val="0"/>
        <c:lblAlgn val="ctr"/>
        <c:lblOffset val="100"/>
        <c:tickLblSkip val="1"/>
        <c:tickMarkSkip val="1"/>
      </c:catAx>
      <c:valAx>
        <c:axId val="478508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9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8507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9823360"/>
        <c:axId val="479824896"/>
      </c:barChart>
      <c:scatterChart>
        <c:scatterStyle val="lineMarker"/>
        <c:ser>
          <c:idx val="1"/>
          <c:order val="1"/>
          <c:tx>
            <c:strRef>
              <c:f>'#5-439'!$CK$3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79823360"/>
        <c:axId val="479824896"/>
      </c:scatterChart>
      <c:catAx>
        <c:axId val="479823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9824896"/>
        <c:crossesAt val="0"/>
        <c:lblAlgn val="ctr"/>
        <c:lblOffset val="100"/>
        <c:tickLblSkip val="1"/>
        <c:tickMarkSkip val="1"/>
      </c:catAx>
      <c:valAx>
        <c:axId val="479824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3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9823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338688"/>
        <c:axId val="480340224"/>
      </c:barChart>
      <c:scatterChart>
        <c:scatterStyle val="lineMarker"/>
        <c:ser>
          <c:idx val="1"/>
          <c:order val="1"/>
          <c:tx>
            <c:strRef>
              <c:f>'#5-439'!$CR$3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0338688"/>
        <c:axId val="480340224"/>
      </c:scatterChart>
      <c:catAx>
        <c:axId val="480338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340224"/>
        <c:crossesAt val="0"/>
        <c:lblAlgn val="ctr"/>
        <c:lblOffset val="100"/>
        <c:tickLblSkip val="1"/>
        <c:tickMarkSkip val="1"/>
      </c:catAx>
      <c:valAx>
        <c:axId val="480340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34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338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'#5-439'!$CU$1:$CX$1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0979968"/>
        <c:axId val="480985856"/>
      </c:barChart>
      <c:scatterChart>
        <c:scatterStyle val="lineMarker"/>
        <c:ser>
          <c:idx val="1"/>
          <c:order val="1"/>
          <c:tx>
            <c:strRef>
              <c:f>'#5-439'!$CY$3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'#5-439'!$CY$4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480979968"/>
        <c:axId val="480985856"/>
      </c:scatterChart>
      <c:catAx>
        <c:axId val="480979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985856"/>
        <c:crossesAt val="0"/>
        <c:lblAlgn val="ctr"/>
        <c:lblOffset val="100"/>
        <c:tickLblSkip val="1"/>
        <c:tickMarkSkip val="1"/>
      </c:catAx>
      <c:valAx>
        <c:axId val="480985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3E-2"/>
              <c:y val="0.2105263824469333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0979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011200"/>
        <c:axId val="481012736"/>
      </c:barChart>
      <c:catAx>
        <c:axId val="481011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12736"/>
        <c:crossesAt val="0"/>
        <c:lblAlgn val="ctr"/>
        <c:lblOffset val="100"/>
        <c:tickLblSkip val="1"/>
        <c:tickMarkSkip val="1"/>
      </c:catAx>
      <c:valAx>
        <c:axId val="481012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11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046528"/>
        <c:axId val="481048064"/>
      </c:barChart>
      <c:catAx>
        <c:axId val="481046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48064"/>
        <c:crossesAt val="0"/>
        <c:lblAlgn val="ctr"/>
        <c:lblOffset val="100"/>
        <c:tickLblSkip val="1"/>
        <c:tickMarkSkip val="1"/>
      </c:catAx>
      <c:valAx>
        <c:axId val="481048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46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085696"/>
        <c:axId val="481091584"/>
      </c:barChart>
      <c:catAx>
        <c:axId val="481085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91584"/>
        <c:crossesAt val="0"/>
        <c:lblAlgn val="ctr"/>
        <c:lblOffset val="100"/>
        <c:tickLblSkip val="1"/>
        <c:tickMarkSkip val="1"/>
      </c:catAx>
      <c:valAx>
        <c:axId val="481091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085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'Cohort-32D'!$CE$33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'Cohort-32D'!$CG$1:$CJ$1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'Cohort-32D'!$CG$34:$CJ$34</c:f>
              <c:numCache>
                <c:formatCode>0.0</c:formatCode>
                <c:ptCount val="4"/>
                <c:pt idx="0">
                  <c:v>24.067446095522058</c:v>
                </c:pt>
                <c:pt idx="1">
                  <c:v>6.6072783322404183</c:v>
                </c:pt>
                <c:pt idx="2">
                  <c:v>60.780743965057383</c:v>
                </c:pt>
                <c:pt idx="3">
                  <c:v>0</c:v>
                </c:pt>
              </c:numCache>
            </c:numRef>
          </c:val>
        </c:ser>
        <c:gapWidth val="50"/>
        <c:axId val="489491456"/>
        <c:axId val="489517824"/>
      </c:barChart>
      <c:scatterChart>
        <c:scatterStyle val="lineMarker"/>
        <c:ser>
          <c:idx val="1"/>
          <c:order val="1"/>
          <c:tx>
            <c:strRef>
              <c:f>'Cohort-32D'!$CK$3</c:f>
              <c:strCache>
                <c:ptCount val="1"/>
                <c:pt idx="0">
                  <c:v>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'Cohort-32D'!$CG$3:$CJ$3</c:f>
              <c:numCache>
                <c:formatCode>0.0</c:formatCode>
                <c:ptCount val="4"/>
                <c:pt idx="0">
                  <c:v>22.600492295846031</c:v>
                </c:pt>
                <c:pt idx="1">
                  <c:v>4.8242093205383769</c:v>
                </c:pt>
                <c:pt idx="2">
                  <c:v>59.343955797500769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'Cohort-32D'!$CK$4</c:f>
              <c:strCache>
                <c:ptCount val="1"/>
                <c:pt idx="0">
                  <c:v>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'Cohort-32D'!$CG$4:$CI$4</c:f>
              <c:numCache>
                <c:formatCode>0.0</c:formatCode>
                <c:ptCount val="3"/>
                <c:pt idx="0">
                  <c:v>24.067446095522058</c:v>
                </c:pt>
                <c:pt idx="1">
                  <c:v>6.6072783322404183</c:v>
                </c:pt>
                <c:pt idx="2">
                  <c:v>60.780743965057383</c:v>
                </c:pt>
              </c:numCache>
            </c:numRef>
          </c:yVal>
        </c:ser>
        <c:ser>
          <c:idx val="3"/>
          <c:order val="3"/>
          <c:tx>
            <c:strRef>
              <c:f>'Cohort-32D'!$CK$5</c:f>
              <c:strCache>
                <c:ptCount val="1"/>
                <c:pt idx="0">
                  <c:v>3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'Cohort-32D'!$CG$5:$CI$5</c:f>
              <c:numCache>
                <c:formatCode>0.0</c:formatCode>
                <c:ptCount val="3"/>
                <c:pt idx="0">
                  <c:v>25.841746420841684</c:v>
                </c:pt>
                <c:pt idx="1">
                  <c:v>7.5356236274449842</c:v>
                </c:pt>
                <c:pt idx="2">
                  <c:v>64.417448659079938</c:v>
                </c:pt>
              </c:numCache>
            </c:numRef>
          </c:yVal>
        </c:ser>
        <c:ser>
          <c:idx val="4"/>
          <c:order val="4"/>
          <c:tx>
            <c:strRef>
              <c:f>'Cohort-32D'!$CK$6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'Cohort-32D'!$CG$6:$CI$6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'Cohort-32D'!$CG$7:$CI$7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'Cohort-32D'!$CG$8:$CI$8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489491456"/>
        <c:axId val="489517824"/>
      </c:scatterChart>
      <c:catAx>
        <c:axId val="489491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517824"/>
        <c:crossesAt val="0"/>
        <c:lblAlgn val="ctr"/>
        <c:lblOffset val="100"/>
        <c:tickLblSkip val="1"/>
        <c:tickMarkSkip val="1"/>
      </c:catAx>
      <c:valAx>
        <c:axId val="489517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64E-2"/>
              <c:y val="0.136952393891050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491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12968320"/>
        <c:axId val="312969856"/>
      </c:barChart>
      <c:catAx>
        <c:axId val="312968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2969856"/>
        <c:crossesAt val="0"/>
        <c:lblAlgn val="ctr"/>
        <c:lblOffset val="100"/>
        <c:tickLblSkip val="1"/>
        <c:tickMarkSkip val="1"/>
      </c:catAx>
      <c:valAx>
        <c:axId val="312969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2968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124736"/>
        <c:axId val="481126272"/>
      </c:barChart>
      <c:catAx>
        <c:axId val="481124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126272"/>
        <c:crossesAt val="0"/>
        <c:lblAlgn val="ctr"/>
        <c:lblOffset val="100"/>
        <c:tickLblSkip val="1"/>
        <c:tickMarkSkip val="1"/>
      </c:catAx>
      <c:valAx>
        <c:axId val="481126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124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163904"/>
        <c:axId val="481165696"/>
      </c:barChart>
      <c:catAx>
        <c:axId val="481163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165696"/>
        <c:crossesAt val="0"/>
        <c:lblAlgn val="ctr"/>
        <c:lblOffset val="100"/>
        <c:tickLblSkip val="1"/>
        <c:tickMarkSkip val="1"/>
      </c:catAx>
      <c:valAx>
        <c:axId val="481165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163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202944"/>
        <c:axId val="481204480"/>
      </c:barChart>
      <c:catAx>
        <c:axId val="48120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04480"/>
        <c:crossesAt val="0"/>
        <c:lblAlgn val="ctr"/>
        <c:lblOffset val="100"/>
        <c:tickLblSkip val="1"/>
        <c:tickMarkSkip val="1"/>
      </c:catAx>
      <c:valAx>
        <c:axId val="481204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0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246208"/>
        <c:axId val="481252096"/>
      </c:barChart>
      <c:catAx>
        <c:axId val="481246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52096"/>
        <c:crossesAt val="0"/>
        <c:lblAlgn val="ctr"/>
        <c:lblOffset val="100"/>
        <c:tickLblSkip val="1"/>
        <c:tickMarkSkip val="1"/>
      </c:catAx>
      <c:valAx>
        <c:axId val="481252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2E-2"/>
              <c:y val="0.1356857069049586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46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293824"/>
        <c:axId val="481295360"/>
      </c:barChart>
      <c:catAx>
        <c:axId val="48129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95360"/>
        <c:crossesAt val="0"/>
        <c:lblAlgn val="ctr"/>
        <c:lblOffset val="100"/>
        <c:tickLblSkip val="1"/>
        <c:tickMarkSkip val="1"/>
      </c:catAx>
      <c:valAx>
        <c:axId val="481295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29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389952"/>
        <c:axId val="481391744"/>
      </c:barChart>
      <c:catAx>
        <c:axId val="481389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391744"/>
        <c:crossesAt val="0"/>
        <c:lblAlgn val="ctr"/>
        <c:lblOffset val="100"/>
        <c:tickLblSkip val="1"/>
        <c:tickMarkSkip val="1"/>
      </c:catAx>
      <c:valAx>
        <c:axId val="481391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33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389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441664"/>
        <c:axId val="481443200"/>
      </c:barChart>
      <c:catAx>
        <c:axId val="481441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443200"/>
        <c:crossesAt val="0"/>
        <c:lblAlgn val="ctr"/>
        <c:lblOffset val="100"/>
        <c:tickLblSkip val="1"/>
        <c:tickMarkSkip val="1"/>
      </c:catAx>
      <c:valAx>
        <c:axId val="4814432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441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481088"/>
        <c:axId val="481482624"/>
      </c:barChart>
      <c:catAx>
        <c:axId val="481481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482624"/>
        <c:crossesAt val="0"/>
        <c:lblAlgn val="ctr"/>
        <c:lblOffset val="100"/>
        <c:tickLblSkip val="1"/>
        <c:tickMarkSkip val="1"/>
      </c:catAx>
      <c:valAx>
        <c:axId val="481482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481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520256"/>
        <c:axId val="481526144"/>
      </c:barChart>
      <c:catAx>
        <c:axId val="481520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526144"/>
        <c:crossesAt val="0"/>
        <c:lblAlgn val="ctr"/>
        <c:lblOffset val="100"/>
        <c:tickLblSkip val="1"/>
        <c:tickMarkSkip val="1"/>
      </c:catAx>
      <c:valAx>
        <c:axId val="481526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520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761152"/>
        <c:axId val="481762688"/>
      </c:barChart>
      <c:catAx>
        <c:axId val="481761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762688"/>
        <c:crossesAt val="0"/>
        <c:lblAlgn val="ctr"/>
        <c:lblOffset val="100"/>
        <c:tickLblSkip val="1"/>
        <c:tickMarkSkip val="1"/>
      </c:catAx>
      <c:valAx>
        <c:axId val="481762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761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13269632"/>
        <c:axId val="317482112"/>
      </c:barChart>
      <c:catAx>
        <c:axId val="313269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7482112"/>
        <c:crossesAt val="0"/>
        <c:lblAlgn val="ctr"/>
        <c:lblOffset val="100"/>
        <c:tickLblSkip val="1"/>
        <c:tickMarkSkip val="1"/>
      </c:catAx>
      <c:valAx>
        <c:axId val="317482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3269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808768"/>
        <c:axId val="481810304"/>
      </c:barChart>
      <c:catAx>
        <c:axId val="481808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810304"/>
        <c:crossesAt val="0"/>
        <c:lblAlgn val="ctr"/>
        <c:lblOffset val="100"/>
        <c:tickLblSkip val="1"/>
        <c:tickMarkSkip val="1"/>
      </c:catAx>
      <c:valAx>
        <c:axId val="481810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808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1454080"/>
        <c:axId val="91468160"/>
      </c:barChart>
      <c:catAx>
        <c:axId val="91454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468160"/>
        <c:crossesAt val="0"/>
        <c:lblAlgn val="ctr"/>
        <c:lblOffset val="100"/>
        <c:tickLblSkip val="1"/>
        <c:tickMarkSkip val="1"/>
      </c:catAx>
      <c:valAx>
        <c:axId val="91468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454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982144"/>
        <c:axId val="352983680"/>
      </c:barChart>
      <c:catAx>
        <c:axId val="352982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983680"/>
        <c:crossesAt val="0"/>
        <c:lblAlgn val="ctr"/>
        <c:lblOffset val="100"/>
        <c:tickLblSkip val="1"/>
        <c:tickMarkSkip val="1"/>
      </c:catAx>
      <c:valAx>
        <c:axId val="352983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7069049585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982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73005440"/>
        <c:axId val="481571968"/>
      </c:barChart>
      <c:catAx>
        <c:axId val="473005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571968"/>
        <c:crossesAt val="0"/>
        <c:lblAlgn val="ctr"/>
        <c:lblOffset val="100"/>
        <c:tickLblSkip val="1"/>
        <c:tickMarkSkip val="1"/>
      </c:catAx>
      <c:valAx>
        <c:axId val="481571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73005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043392"/>
        <c:axId val="482044928"/>
      </c:barChart>
      <c:catAx>
        <c:axId val="482043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44928"/>
        <c:crossesAt val="0"/>
        <c:lblAlgn val="ctr"/>
        <c:lblOffset val="100"/>
        <c:tickLblSkip val="1"/>
        <c:tickMarkSkip val="1"/>
      </c:catAx>
      <c:valAx>
        <c:axId val="48204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43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1972224"/>
        <c:axId val="481973760"/>
      </c:barChart>
      <c:catAx>
        <c:axId val="481972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973760"/>
        <c:crossesAt val="0"/>
        <c:lblAlgn val="ctr"/>
        <c:lblOffset val="100"/>
        <c:tickLblSkip val="1"/>
        <c:tickMarkSkip val="1"/>
      </c:catAx>
      <c:valAx>
        <c:axId val="481973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1972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82003200"/>
        <c:axId val="482009088"/>
      </c:barChart>
      <c:catAx>
        <c:axId val="48200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09088"/>
        <c:crossesAt val="0"/>
        <c:lblAlgn val="ctr"/>
        <c:lblOffset val="100"/>
        <c:tickLblSkip val="1"/>
        <c:tickMarkSkip val="1"/>
      </c:catAx>
      <c:valAx>
        <c:axId val="482009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200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346176"/>
        <c:axId val="531347712"/>
      </c:barChart>
      <c:catAx>
        <c:axId val="53134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347712"/>
        <c:crossesAt val="0"/>
        <c:lblAlgn val="ctr"/>
        <c:lblOffset val="100"/>
        <c:tickLblSkip val="1"/>
        <c:tickMarkSkip val="1"/>
      </c:catAx>
      <c:valAx>
        <c:axId val="5313477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34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450880"/>
        <c:axId val="531452672"/>
      </c:barChart>
      <c:catAx>
        <c:axId val="531450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52672"/>
        <c:crossesAt val="0"/>
        <c:lblAlgn val="ctr"/>
        <c:lblOffset val="100"/>
        <c:tickLblSkip val="1"/>
        <c:tickMarkSkip val="1"/>
      </c:catAx>
      <c:valAx>
        <c:axId val="531452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50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482112"/>
        <c:axId val="531483648"/>
      </c:barChart>
      <c:catAx>
        <c:axId val="531482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83648"/>
        <c:crossesAt val="0"/>
        <c:lblAlgn val="ctr"/>
        <c:lblOffset val="100"/>
        <c:tickLblSkip val="1"/>
        <c:tickMarkSkip val="1"/>
      </c:catAx>
      <c:valAx>
        <c:axId val="531483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82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'#1-32D'!$BZ$91:$CC$91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8468352"/>
        <c:axId val="328469888"/>
      </c:barChart>
      <c:catAx>
        <c:axId val="328468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8469888"/>
        <c:crossesAt val="0"/>
        <c:lblAlgn val="ctr"/>
        <c:lblOffset val="100"/>
        <c:tickLblSkip val="1"/>
        <c:tickMarkSkip val="1"/>
      </c:catAx>
      <c:valAx>
        <c:axId val="328469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8468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520896"/>
        <c:axId val="531522688"/>
      </c:barChart>
      <c:catAx>
        <c:axId val="531520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522688"/>
        <c:crossesAt val="0"/>
        <c:lblAlgn val="ctr"/>
        <c:lblOffset val="100"/>
        <c:tickLblSkip val="1"/>
        <c:tickMarkSkip val="1"/>
      </c:catAx>
      <c:valAx>
        <c:axId val="531522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520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572608"/>
        <c:axId val="531574144"/>
      </c:barChart>
      <c:catAx>
        <c:axId val="531572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574144"/>
        <c:crossesAt val="0"/>
        <c:lblAlgn val="ctr"/>
        <c:lblOffset val="100"/>
        <c:tickLblSkip val="1"/>
        <c:tickMarkSkip val="1"/>
      </c:catAx>
      <c:valAx>
        <c:axId val="531574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572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366272"/>
        <c:axId val="531367808"/>
      </c:barChart>
      <c:catAx>
        <c:axId val="531366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367808"/>
        <c:crossesAt val="0"/>
        <c:lblAlgn val="ctr"/>
        <c:lblOffset val="100"/>
        <c:tickLblSkip val="1"/>
        <c:tickMarkSkip val="1"/>
      </c:catAx>
      <c:valAx>
        <c:axId val="531367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366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405440"/>
        <c:axId val="531415424"/>
      </c:barChart>
      <c:catAx>
        <c:axId val="531405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15424"/>
        <c:crossesAt val="0"/>
        <c:lblAlgn val="ctr"/>
        <c:lblOffset val="100"/>
        <c:tickLblSkip val="1"/>
        <c:tickMarkSkip val="1"/>
      </c:catAx>
      <c:valAx>
        <c:axId val="5314154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405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772544"/>
        <c:axId val="531774080"/>
      </c:barChart>
      <c:catAx>
        <c:axId val="531772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774080"/>
        <c:crossesAt val="0"/>
        <c:lblAlgn val="ctr"/>
        <c:lblOffset val="100"/>
        <c:tickLblSkip val="1"/>
        <c:tickMarkSkip val="1"/>
      </c:catAx>
      <c:valAx>
        <c:axId val="531774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772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824000"/>
        <c:axId val="531637376"/>
      </c:barChart>
      <c:catAx>
        <c:axId val="531824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637376"/>
        <c:crossesAt val="0"/>
        <c:lblAlgn val="ctr"/>
        <c:lblOffset val="100"/>
        <c:tickLblSkip val="1"/>
        <c:tickMarkSkip val="1"/>
      </c:catAx>
      <c:valAx>
        <c:axId val="5316373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824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662336"/>
        <c:axId val="531663872"/>
      </c:barChart>
      <c:catAx>
        <c:axId val="531662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663872"/>
        <c:crossesAt val="0"/>
        <c:lblAlgn val="ctr"/>
        <c:lblOffset val="100"/>
        <c:tickLblSkip val="1"/>
        <c:tickMarkSkip val="1"/>
      </c:catAx>
      <c:valAx>
        <c:axId val="531663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369186862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662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914752"/>
        <c:axId val="531916288"/>
      </c:barChart>
      <c:catAx>
        <c:axId val="531914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916288"/>
        <c:crossesAt val="0"/>
        <c:lblAlgn val="ctr"/>
        <c:lblOffset val="100"/>
        <c:tickLblSkip val="1"/>
        <c:tickMarkSkip val="1"/>
      </c:catAx>
      <c:valAx>
        <c:axId val="531916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9147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954688"/>
        <c:axId val="531825408"/>
      </c:barChart>
      <c:catAx>
        <c:axId val="531954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825408"/>
        <c:crossesAt val="0"/>
        <c:lblAlgn val="ctr"/>
        <c:lblOffset val="100"/>
        <c:tickLblSkip val="1"/>
        <c:tickMarkSkip val="1"/>
      </c:catAx>
      <c:valAx>
        <c:axId val="531825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954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871232"/>
        <c:axId val="531872768"/>
      </c:barChart>
      <c:catAx>
        <c:axId val="531871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872768"/>
        <c:crossesAt val="0"/>
        <c:lblAlgn val="ctr"/>
        <c:lblOffset val="100"/>
        <c:tickLblSkip val="1"/>
        <c:tickMarkSkip val="1"/>
      </c:catAx>
      <c:valAx>
        <c:axId val="531872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871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4100352"/>
        <c:axId val="334101888"/>
      </c:barChart>
      <c:catAx>
        <c:axId val="334100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4101888"/>
        <c:crossesAt val="0"/>
        <c:lblAlgn val="ctr"/>
        <c:lblOffset val="100"/>
        <c:tickLblSkip val="1"/>
        <c:tickMarkSkip val="1"/>
      </c:catAx>
      <c:valAx>
        <c:axId val="334101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4100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037632"/>
        <c:axId val="532039168"/>
      </c:barChart>
      <c:catAx>
        <c:axId val="532037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039168"/>
        <c:crossesAt val="0"/>
        <c:lblAlgn val="ctr"/>
        <c:lblOffset val="100"/>
        <c:tickLblSkip val="1"/>
        <c:tickMarkSkip val="1"/>
      </c:catAx>
      <c:valAx>
        <c:axId val="532039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037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1966208"/>
        <c:axId val="531972096"/>
      </c:barChart>
      <c:catAx>
        <c:axId val="531966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972096"/>
        <c:crossesAt val="0"/>
        <c:lblAlgn val="ctr"/>
        <c:lblOffset val="100"/>
        <c:tickLblSkip val="1"/>
        <c:tickMarkSkip val="1"/>
      </c:catAx>
      <c:valAx>
        <c:axId val="531972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1966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004864"/>
        <c:axId val="532006400"/>
      </c:barChart>
      <c:catAx>
        <c:axId val="532004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006400"/>
        <c:crossesAt val="0"/>
        <c:lblAlgn val="ctr"/>
        <c:lblOffset val="100"/>
        <c:tickLblSkip val="1"/>
        <c:tickMarkSkip val="1"/>
      </c:catAx>
      <c:valAx>
        <c:axId val="532006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369186862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004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109568"/>
        <c:axId val="532115456"/>
      </c:barChart>
      <c:catAx>
        <c:axId val="532109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15456"/>
        <c:crossesAt val="0"/>
        <c:lblAlgn val="ctr"/>
        <c:lblOffset val="100"/>
        <c:tickLblSkip val="1"/>
        <c:tickMarkSkip val="1"/>
      </c:catAx>
      <c:valAx>
        <c:axId val="532115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09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157184"/>
        <c:axId val="532158720"/>
      </c:barChart>
      <c:catAx>
        <c:axId val="532157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58720"/>
        <c:crossesAt val="0"/>
        <c:lblAlgn val="ctr"/>
        <c:lblOffset val="100"/>
        <c:tickLblSkip val="1"/>
        <c:tickMarkSkip val="1"/>
      </c:catAx>
      <c:valAx>
        <c:axId val="532158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57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192640"/>
        <c:axId val="532198528"/>
      </c:barChart>
      <c:catAx>
        <c:axId val="532192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98528"/>
        <c:crossesAt val="0"/>
        <c:lblAlgn val="ctr"/>
        <c:lblOffset val="100"/>
        <c:tickLblSkip val="1"/>
        <c:tickMarkSkip val="1"/>
      </c:catAx>
      <c:valAx>
        <c:axId val="532198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192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305792"/>
        <c:axId val="532307328"/>
      </c:barChart>
      <c:catAx>
        <c:axId val="532305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307328"/>
        <c:crossesAt val="0"/>
        <c:lblAlgn val="ctr"/>
        <c:lblOffset val="100"/>
        <c:tickLblSkip val="1"/>
        <c:tickMarkSkip val="1"/>
      </c:catAx>
      <c:valAx>
        <c:axId val="532307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305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15155328"/>
        <c:axId val="115156864"/>
      </c:barChart>
      <c:catAx>
        <c:axId val="115155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156864"/>
        <c:crossesAt val="0"/>
        <c:lblAlgn val="ctr"/>
        <c:lblOffset val="100"/>
        <c:tickLblSkip val="1"/>
        <c:tickMarkSkip val="1"/>
      </c:catAx>
      <c:valAx>
        <c:axId val="115156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15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15198208"/>
        <c:axId val="115204096"/>
      </c:barChart>
      <c:catAx>
        <c:axId val="115198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204096"/>
        <c:crossesAt val="0"/>
        <c:lblAlgn val="ctr"/>
        <c:lblOffset val="100"/>
        <c:tickLblSkip val="1"/>
        <c:tickMarkSkip val="1"/>
      </c:catAx>
      <c:valAx>
        <c:axId val="115204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369186862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5198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243200"/>
        <c:axId val="532244736"/>
      </c:barChart>
      <c:catAx>
        <c:axId val="53224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244736"/>
        <c:crossesAt val="0"/>
        <c:lblAlgn val="ctr"/>
        <c:lblOffset val="100"/>
        <c:tickLblSkip val="1"/>
        <c:tickMarkSkip val="1"/>
      </c:catAx>
      <c:valAx>
        <c:axId val="532244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24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7396096"/>
        <c:axId val="337397632"/>
      </c:barChart>
      <c:catAx>
        <c:axId val="337396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397632"/>
        <c:crossesAt val="0"/>
        <c:lblAlgn val="ctr"/>
        <c:lblOffset val="100"/>
        <c:tickLblSkip val="1"/>
        <c:tickMarkSkip val="1"/>
      </c:catAx>
      <c:valAx>
        <c:axId val="337397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396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351232"/>
        <c:axId val="532365312"/>
      </c:barChart>
      <c:catAx>
        <c:axId val="532351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365312"/>
        <c:crossesAt val="0"/>
        <c:lblAlgn val="ctr"/>
        <c:lblOffset val="100"/>
        <c:tickLblSkip val="1"/>
        <c:tickMarkSkip val="1"/>
      </c:catAx>
      <c:valAx>
        <c:axId val="532365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351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406656"/>
        <c:axId val="532408192"/>
      </c:barChart>
      <c:catAx>
        <c:axId val="532406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408192"/>
        <c:crossesAt val="0"/>
        <c:lblAlgn val="ctr"/>
        <c:lblOffset val="100"/>
        <c:tickLblSkip val="1"/>
        <c:tickMarkSkip val="1"/>
      </c:catAx>
      <c:valAx>
        <c:axId val="532408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369186862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406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2445824"/>
        <c:axId val="532455808"/>
      </c:barChart>
      <c:catAx>
        <c:axId val="532445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455808"/>
        <c:crossesAt val="0"/>
        <c:lblAlgn val="ctr"/>
        <c:lblOffset val="100"/>
        <c:tickLblSkip val="1"/>
        <c:tickMarkSkip val="1"/>
      </c:catAx>
      <c:valAx>
        <c:axId val="53245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2445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7072768"/>
        <c:axId val="537074304"/>
      </c:barChart>
      <c:catAx>
        <c:axId val="537072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074304"/>
        <c:crossesAt val="0"/>
        <c:lblAlgn val="ctr"/>
        <c:lblOffset val="100"/>
        <c:tickLblSkip val="1"/>
        <c:tickMarkSkip val="1"/>
      </c:catAx>
      <c:valAx>
        <c:axId val="537074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072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7120128"/>
        <c:axId val="537126016"/>
      </c:barChart>
      <c:catAx>
        <c:axId val="537120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126016"/>
        <c:crossesAt val="0"/>
        <c:lblAlgn val="ctr"/>
        <c:lblOffset val="100"/>
        <c:tickLblSkip val="1"/>
        <c:tickMarkSkip val="1"/>
      </c:catAx>
      <c:valAx>
        <c:axId val="5371260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120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'#6-439'!$BJ$33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37843200"/>
        <c:axId val="537844736"/>
      </c:barChart>
      <c:scatterChart>
        <c:scatterStyle val="lineMarker"/>
        <c:ser>
          <c:idx val="1"/>
          <c:order val="1"/>
          <c:tx>
            <c:strRef>
              <c:f>'#6-439'!$BG$3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37843200"/>
        <c:axId val="537844736"/>
      </c:scatterChart>
      <c:catAx>
        <c:axId val="53784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844736"/>
        <c:crossesAt val="0"/>
        <c:lblAlgn val="ctr"/>
        <c:lblOffset val="100"/>
        <c:tickLblSkip val="1"/>
        <c:tickMarkSkip val="1"/>
      </c:catAx>
      <c:valAx>
        <c:axId val="537844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5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3784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'#6-439'!$BQ$33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8146176"/>
        <c:axId val="548152064"/>
      </c:barChart>
      <c:scatterChart>
        <c:scatterStyle val="lineMarker"/>
        <c:ser>
          <c:idx val="1"/>
          <c:order val="1"/>
          <c:tx>
            <c:strRef>
              <c:f>'#6-439'!$BP$3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8146176"/>
        <c:axId val="548152064"/>
      </c:scatterChart>
      <c:catAx>
        <c:axId val="54814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152064"/>
        <c:crossesAt val="0"/>
        <c:lblAlgn val="ctr"/>
        <c:lblOffset val="100"/>
        <c:tickLblSkip val="1"/>
        <c:tickMarkSkip val="1"/>
      </c:catAx>
      <c:valAx>
        <c:axId val="548152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814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'#6-439'!$BX$33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9202560"/>
        <c:axId val="549208448"/>
      </c:barChart>
      <c:scatterChart>
        <c:scatterStyle val="lineMarker"/>
        <c:ser>
          <c:idx val="1"/>
          <c:order val="1"/>
          <c:tx>
            <c:strRef>
              <c:f>'#6-439'!$BW$3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9202560"/>
        <c:axId val="549208448"/>
      </c:scatterChart>
      <c:catAx>
        <c:axId val="549202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9208448"/>
        <c:crossesAt val="0"/>
        <c:lblAlgn val="ctr"/>
        <c:lblOffset val="100"/>
        <c:tickLblSkip val="1"/>
        <c:tickMarkSkip val="1"/>
      </c:catAx>
      <c:valAx>
        <c:axId val="549208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4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9202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49884288"/>
        <c:axId val="549885824"/>
      </c:barChart>
      <c:scatterChart>
        <c:scatterStyle val="lineMarker"/>
        <c:ser>
          <c:idx val="1"/>
          <c:order val="1"/>
          <c:tx>
            <c:strRef>
              <c:f>'#6-439'!$CK$3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49884288"/>
        <c:axId val="549885824"/>
      </c:scatterChart>
      <c:catAx>
        <c:axId val="549884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9885824"/>
        <c:crossesAt val="0"/>
        <c:lblAlgn val="ctr"/>
        <c:lblOffset val="100"/>
        <c:tickLblSkip val="1"/>
        <c:tickMarkSkip val="1"/>
      </c:catAx>
      <c:valAx>
        <c:axId val="549885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3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49884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124928"/>
        <c:axId val="550143104"/>
      </c:barChart>
      <c:scatterChart>
        <c:scatterStyle val="lineMarker"/>
        <c:ser>
          <c:idx val="1"/>
          <c:order val="1"/>
          <c:tx>
            <c:strRef>
              <c:f>'#6-439'!$CR$3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50124928"/>
        <c:axId val="550143104"/>
      </c:scatterChart>
      <c:catAx>
        <c:axId val="5501249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143104"/>
        <c:crossesAt val="0"/>
        <c:lblAlgn val="ctr"/>
        <c:lblOffset val="100"/>
        <c:tickLblSkip val="1"/>
        <c:tickMarkSkip val="1"/>
      </c:catAx>
      <c:valAx>
        <c:axId val="550143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44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1249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7418880"/>
        <c:axId val="337420672"/>
      </c:barChart>
      <c:catAx>
        <c:axId val="337418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420672"/>
        <c:crossesAt val="0"/>
        <c:lblAlgn val="ctr"/>
        <c:lblOffset val="100"/>
        <c:tickLblSkip val="1"/>
        <c:tickMarkSkip val="1"/>
      </c:catAx>
      <c:valAx>
        <c:axId val="337420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418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'#6-439'!$CU$1:$CX$1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397824"/>
        <c:axId val="550399360"/>
      </c:barChart>
      <c:scatterChart>
        <c:scatterStyle val="lineMarker"/>
        <c:ser>
          <c:idx val="1"/>
          <c:order val="1"/>
          <c:tx>
            <c:strRef>
              <c:f>'#6-439'!$CY$3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'#6-439'!$CY$4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'#6-439'!$CY$5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'#6-439'!$CY$6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'#6-439'!$CY$7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'#6-439'!$CY$8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'#6-439'!$CY$9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'#6-439'!$CY$10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'#6-439'!$CU$10:$CX$10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550397824"/>
        <c:axId val="550399360"/>
      </c:scatterChart>
      <c:catAx>
        <c:axId val="55039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399360"/>
        <c:crossesAt val="0"/>
        <c:lblAlgn val="ctr"/>
        <c:lblOffset val="100"/>
        <c:tickLblSkip val="1"/>
        <c:tickMarkSkip val="1"/>
      </c:catAx>
      <c:valAx>
        <c:axId val="55039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3E-2"/>
              <c:y val="0.2105263824469334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39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429056"/>
        <c:axId val="550430592"/>
      </c:barChart>
      <c:catAx>
        <c:axId val="550429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430592"/>
        <c:crossesAt val="0"/>
        <c:lblAlgn val="ctr"/>
        <c:lblOffset val="100"/>
        <c:tickLblSkip val="1"/>
        <c:tickMarkSkip val="1"/>
      </c:catAx>
      <c:valAx>
        <c:axId val="550430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429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460032"/>
        <c:axId val="550474112"/>
      </c:barChart>
      <c:catAx>
        <c:axId val="5504600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474112"/>
        <c:crossesAt val="0"/>
        <c:lblAlgn val="ctr"/>
        <c:lblOffset val="100"/>
        <c:tickLblSkip val="1"/>
        <c:tickMarkSkip val="1"/>
      </c:catAx>
      <c:valAx>
        <c:axId val="550474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4600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577280"/>
        <c:axId val="550578816"/>
      </c:barChart>
      <c:catAx>
        <c:axId val="550577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578816"/>
        <c:crossesAt val="0"/>
        <c:lblAlgn val="ctr"/>
        <c:lblOffset val="100"/>
        <c:tickLblSkip val="1"/>
        <c:tickMarkSkip val="1"/>
      </c:catAx>
      <c:valAx>
        <c:axId val="550578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577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603776"/>
        <c:axId val="550605568"/>
      </c:barChart>
      <c:catAx>
        <c:axId val="550603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605568"/>
        <c:crossesAt val="0"/>
        <c:lblAlgn val="ctr"/>
        <c:lblOffset val="100"/>
        <c:tickLblSkip val="1"/>
        <c:tickMarkSkip val="1"/>
      </c:catAx>
      <c:valAx>
        <c:axId val="5506055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603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721024"/>
        <c:axId val="550722560"/>
      </c:barChart>
      <c:catAx>
        <c:axId val="550721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722560"/>
        <c:crossesAt val="0"/>
        <c:lblAlgn val="ctr"/>
        <c:lblOffset val="100"/>
        <c:tickLblSkip val="1"/>
        <c:tickMarkSkip val="1"/>
      </c:catAx>
      <c:valAx>
        <c:axId val="550722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721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747520"/>
        <c:axId val="550753408"/>
      </c:barChart>
      <c:catAx>
        <c:axId val="550747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753408"/>
        <c:crossesAt val="0"/>
        <c:lblAlgn val="ctr"/>
        <c:lblOffset val="100"/>
        <c:tickLblSkip val="1"/>
        <c:tickMarkSkip val="1"/>
      </c:catAx>
      <c:valAx>
        <c:axId val="550753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747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672256"/>
        <c:axId val="550673792"/>
      </c:barChart>
      <c:catAx>
        <c:axId val="550672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673792"/>
        <c:crossesAt val="0"/>
        <c:lblAlgn val="ctr"/>
        <c:lblOffset val="100"/>
        <c:tickLblSkip val="1"/>
        <c:tickMarkSkip val="1"/>
      </c:catAx>
      <c:valAx>
        <c:axId val="5506737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66E-2"/>
              <c:y val="0.1356857069049585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6722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855040"/>
        <c:axId val="550856576"/>
      </c:barChart>
      <c:catAx>
        <c:axId val="550855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856576"/>
        <c:crossesAt val="0"/>
        <c:lblAlgn val="ctr"/>
        <c:lblOffset val="100"/>
        <c:tickLblSkip val="1"/>
        <c:tickMarkSkip val="1"/>
      </c:catAx>
      <c:valAx>
        <c:axId val="5508565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855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893824"/>
        <c:axId val="550768640"/>
      </c:barChart>
      <c:catAx>
        <c:axId val="550893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768640"/>
        <c:crossesAt val="0"/>
        <c:lblAlgn val="ctr"/>
        <c:lblOffset val="100"/>
        <c:tickLblSkip val="1"/>
        <c:tickMarkSkip val="1"/>
      </c:catAx>
      <c:valAx>
        <c:axId val="550768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3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893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7581184"/>
        <c:axId val="337582720"/>
      </c:barChart>
      <c:catAx>
        <c:axId val="337581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582720"/>
        <c:crossesAt val="0"/>
        <c:lblAlgn val="ctr"/>
        <c:lblOffset val="100"/>
        <c:tickLblSkip val="1"/>
        <c:tickMarkSkip val="1"/>
      </c:catAx>
      <c:valAx>
        <c:axId val="337582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7069049588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581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802176"/>
        <c:axId val="550803712"/>
      </c:barChart>
      <c:catAx>
        <c:axId val="550802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803712"/>
        <c:crossesAt val="0"/>
        <c:lblAlgn val="ctr"/>
        <c:lblOffset val="100"/>
        <c:tickLblSkip val="1"/>
        <c:tickMarkSkip val="1"/>
      </c:catAx>
      <c:valAx>
        <c:axId val="5508037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4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802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'#6-439'!$BS$91:$BV$91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0972416"/>
        <c:axId val="550982400"/>
      </c:barChart>
      <c:catAx>
        <c:axId val="550972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982400"/>
        <c:crossesAt val="0"/>
        <c:lblAlgn val="ctr"/>
        <c:lblOffset val="100"/>
        <c:tickLblSkip val="1"/>
        <c:tickMarkSkip val="1"/>
      </c:catAx>
      <c:valAx>
        <c:axId val="550982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0972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'#6-439'!$BX$91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'#6-439'!$BZ$33:$CC$33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'#6-439'!$BZ$91:$CC$91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551015936"/>
        <c:axId val="551017472"/>
      </c:barChart>
      <c:catAx>
        <c:axId val="551015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1017472"/>
        <c:crossesAt val="0"/>
        <c:lblAlgn val="ctr"/>
        <c:lblOffset val="100"/>
        <c:tickLblSkip val="1"/>
        <c:tickMarkSkip val="1"/>
      </c:catAx>
      <c:valAx>
        <c:axId val="551017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1015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37628544"/>
        <c:axId val="337654912"/>
      </c:barChart>
      <c:catAx>
        <c:axId val="337628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654912"/>
        <c:crossesAt val="0"/>
        <c:lblAlgn val="ctr"/>
        <c:lblOffset val="100"/>
        <c:tickLblSkip val="1"/>
        <c:tickMarkSkip val="1"/>
      </c:catAx>
      <c:valAx>
        <c:axId val="337654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37628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4847872"/>
        <c:axId val="344849408"/>
      </c:barChart>
      <c:catAx>
        <c:axId val="344847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4849408"/>
        <c:crossesAt val="0"/>
        <c:lblAlgn val="ctr"/>
        <c:lblOffset val="100"/>
        <c:tickLblSkip val="1"/>
        <c:tickMarkSkip val="1"/>
      </c:catAx>
      <c:valAx>
        <c:axId val="344849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484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4981504"/>
        <c:axId val="344983040"/>
      </c:barChart>
      <c:catAx>
        <c:axId val="344981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4983040"/>
        <c:crossesAt val="0"/>
        <c:lblAlgn val="ctr"/>
        <c:lblOffset val="100"/>
        <c:tickLblSkip val="1"/>
        <c:tickMarkSkip val="1"/>
      </c:catAx>
      <c:valAx>
        <c:axId val="344983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4981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'Cohort-32D'!$CL$33</c:f>
              <c:strCache>
                <c:ptCount val="1"/>
                <c:pt idx="0">
                  <c:v>FCR (mt:ROX-corr.)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'Cohort-32D'!$CN$1:$CQ$1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'Cohort-32D'!$CN$34:$CQ$34</c:f>
              <c:numCache>
                <c:formatCode>0.00</c:formatCode>
                <c:ptCount val="4"/>
                <c:pt idx="0">
                  <c:v>0.39793618365157035</c:v>
                </c:pt>
                <c:pt idx="1">
                  <c:v>0.10951947763315545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490138624"/>
        <c:axId val="490222720"/>
      </c:barChart>
      <c:scatterChart>
        <c:scatterStyle val="lineMarker"/>
        <c:ser>
          <c:idx val="1"/>
          <c:order val="1"/>
          <c:tx>
            <c:strRef>
              <c:f>'Cohort-32D'!$CR$3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'Cohort-32D'!$CN$3:$CQ$3</c:f>
              <c:numCache>
                <c:formatCode>0.00</c:formatCode>
                <c:ptCount val="4"/>
                <c:pt idx="0">
                  <c:v>0.38084033273011175</c:v>
                </c:pt>
                <c:pt idx="1">
                  <c:v>8.1293407759197439E-2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'Cohort-32D'!$CR$4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'Cohort-32D'!$CN$4:$CP$4</c:f>
              <c:numCache>
                <c:formatCode>0.00</c:formatCode>
                <c:ptCount val="3"/>
                <c:pt idx="0">
                  <c:v>0.39793618365157035</c:v>
                </c:pt>
                <c:pt idx="1">
                  <c:v>0.10951947763315545</c:v>
                </c:pt>
                <c:pt idx="2">
                  <c:v>1</c:v>
                </c:pt>
              </c:numCache>
            </c:numRef>
          </c:yVal>
        </c:ser>
        <c:ser>
          <c:idx val="3"/>
          <c:order val="3"/>
          <c:tx>
            <c:strRef>
              <c:f>'Cohort-32D'!$CR$5</c:f>
              <c:strCache>
                <c:ptCount val="1"/>
                <c:pt idx="0">
                  <c:v>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'Cohort-32D'!$CN$5:$CP$5</c:f>
              <c:numCache>
                <c:formatCode>0.00</c:formatCode>
                <c:ptCount val="3"/>
                <c:pt idx="0">
                  <c:v>0.40116066312413895</c:v>
                </c:pt>
                <c:pt idx="1">
                  <c:v>0.11698109416481528</c:v>
                </c:pt>
                <c:pt idx="2">
                  <c:v>1</c:v>
                </c:pt>
              </c:numCache>
            </c:numRef>
          </c:yVal>
        </c:ser>
        <c:ser>
          <c:idx val="4"/>
          <c:order val="4"/>
          <c:tx>
            <c:strRef>
              <c:f>'Cohort-32D'!$CR$6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'Cohort-32D'!$CN$6:$CP$6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'Cohort-32D'!$CR$7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'Cohort-32D'!$CN$7:$CP$7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'Cohort-32D'!$CR$8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'Cohort-32D'!$CN$8:$CP$8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490138624"/>
        <c:axId val="490222720"/>
      </c:scatterChart>
      <c:catAx>
        <c:axId val="490138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222720"/>
        <c:crossesAt val="0"/>
        <c:lblAlgn val="ctr"/>
        <c:lblOffset val="100"/>
        <c:tickLblSkip val="1"/>
        <c:tickMarkSkip val="1"/>
      </c:catAx>
      <c:valAx>
        <c:axId val="490222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64E-2"/>
              <c:y val="0.2221125357653679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138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5020672"/>
        <c:axId val="345022464"/>
      </c:barChart>
      <c:catAx>
        <c:axId val="345020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022464"/>
        <c:crossesAt val="0"/>
        <c:lblAlgn val="ctr"/>
        <c:lblOffset val="100"/>
        <c:tickLblSkip val="1"/>
        <c:tickMarkSkip val="1"/>
      </c:catAx>
      <c:valAx>
        <c:axId val="3450224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020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5043712"/>
        <c:axId val="345045248"/>
      </c:barChart>
      <c:catAx>
        <c:axId val="345043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045248"/>
        <c:crossesAt val="0"/>
        <c:lblAlgn val="ctr"/>
        <c:lblOffset val="100"/>
        <c:tickLblSkip val="1"/>
        <c:tickMarkSkip val="1"/>
      </c:catAx>
      <c:valAx>
        <c:axId val="345045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043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5222144"/>
        <c:axId val="345223936"/>
      </c:barChart>
      <c:catAx>
        <c:axId val="345222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223936"/>
        <c:crossesAt val="0"/>
        <c:lblAlgn val="ctr"/>
        <c:lblOffset val="100"/>
        <c:tickLblSkip val="1"/>
        <c:tickMarkSkip val="1"/>
      </c:catAx>
      <c:valAx>
        <c:axId val="345223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5222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6379776"/>
        <c:axId val="346381312"/>
      </c:barChart>
      <c:catAx>
        <c:axId val="346379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6381312"/>
        <c:crossesAt val="0"/>
        <c:lblAlgn val="ctr"/>
        <c:lblOffset val="100"/>
        <c:tickLblSkip val="1"/>
        <c:tickMarkSkip val="1"/>
      </c:catAx>
      <c:valAx>
        <c:axId val="346381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6379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7291008"/>
        <c:axId val="347292800"/>
      </c:barChart>
      <c:catAx>
        <c:axId val="347291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292800"/>
        <c:crossesAt val="0"/>
        <c:lblAlgn val="ctr"/>
        <c:lblOffset val="100"/>
        <c:tickLblSkip val="1"/>
        <c:tickMarkSkip val="1"/>
      </c:catAx>
      <c:valAx>
        <c:axId val="347292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291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7334528"/>
        <c:axId val="347336064"/>
      </c:barChart>
      <c:catAx>
        <c:axId val="347334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336064"/>
        <c:crossesAt val="0"/>
        <c:lblAlgn val="ctr"/>
        <c:lblOffset val="100"/>
        <c:tickLblSkip val="1"/>
        <c:tickMarkSkip val="1"/>
      </c:catAx>
      <c:valAx>
        <c:axId val="347336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334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7394432"/>
        <c:axId val="347395968"/>
      </c:barChart>
      <c:catAx>
        <c:axId val="347394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395968"/>
        <c:crossesAt val="0"/>
        <c:lblAlgn val="ctr"/>
        <c:lblOffset val="100"/>
        <c:tickLblSkip val="1"/>
        <c:tickMarkSkip val="1"/>
      </c:catAx>
      <c:valAx>
        <c:axId val="347395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394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7421312"/>
        <c:axId val="348557696"/>
      </c:barChart>
      <c:catAx>
        <c:axId val="3474213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8557696"/>
        <c:crossesAt val="0"/>
        <c:lblAlgn val="ctr"/>
        <c:lblOffset val="100"/>
        <c:tickLblSkip val="1"/>
        <c:tickMarkSkip val="1"/>
      </c:catAx>
      <c:valAx>
        <c:axId val="348557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74213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072832"/>
        <c:axId val="352074368"/>
      </c:barChart>
      <c:catAx>
        <c:axId val="352072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074368"/>
        <c:crossesAt val="0"/>
        <c:lblAlgn val="ctr"/>
        <c:lblOffset val="100"/>
        <c:tickLblSkip val="1"/>
        <c:tickMarkSkip val="1"/>
      </c:catAx>
      <c:valAx>
        <c:axId val="35207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072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103808"/>
        <c:axId val="352105600"/>
      </c:barChart>
      <c:catAx>
        <c:axId val="352103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105600"/>
        <c:crossesAt val="0"/>
        <c:lblAlgn val="ctr"/>
        <c:lblOffset val="100"/>
        <c:tickLblSkip val="1"/>
        <c:tickMarkSkip val="1"/>
      </c:catAx>
      <c:valAx>
        <c:axId val="352105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103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'Cohort-32D'!$CS$33</c:f>
              <c:strCache>
                <c:ptCount val="1"/>
                <c:pt idx="0">
                  <c:v>FCF(mt: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'Cohort-32D'!$CU$1:$CX$1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'Cohort-32D'!$CU$34:$CX$34</c:f>
              <c:numCache>
                <c:formatCode>0.00</c:formatCode>
                <c:ptCount val="4"/>
                <c:pt idx="0">
                  <c:v>0.60206381634842965</c:v>
                </c:pt>
                <c:pt idx="1">
                  <c:v>0.72569595182853541</c:v>
                </c:pt>
                <c:pt idx="2">
                  <c:v>0.89048052236684461</c:v>
                </c:pt>
                <c:pt idx="3">
                  <c:v>1</c:v>
                </c:pt>
              </c:numCache>
            </c:numRef>
          </c:val>
        </c:ser>
        <c:gapWidth val="50"/>
        <c:axId val="490694144"/>
        <c:axId val="490758144"/>
      </c:barChart>
      <c:scatterChart>
        <c:scatterStyle val="lineMarker"/>
        <c:ser>
          <c:idx val="1"/>
          <c:order val="1"/>
          <c:tx>
            <c:strRef>
              <c:f>'Cohort-32D'!$CY$3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'Cohort-32D'!$CU$3:$CX$3</c:f>
              <c:numCache>
                <c:formatCode>0.00</c:formatCode>
                <c:ptCount val="4"/>
                <c:pt idx="0">
                  <c:v>0.61915966726988825</c:v>
                </c:pt>
                <c:pt idx="1">
                  <c:v>0.78654682342247217</c:v>
                </c:pt>
                <c:pt idx="2">
                  <c:v>0.91870659224080253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'Cohort-32D'!$CY$4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'Cohort-32D'!$CU$4:$CW$4</c:f>
              <c:numCache>
                <c:formatCode>0.00</c:formatCode>
                <c:ptCount val="3"/>
                <c:pt idx="0">
                  <c:v>0.60206381634842965</c:v>
                </c:pt>
                <c:pt idx="1">
                  <c:v>0.72569595182853541</c:v>
                </c:pt>
                <c:pt idx="2">
                  <c:v>0.89048052236684461</c:v>
                </c:pt>
              </c:numCache>
            </c:numRef>
          </c:yVal>
        </c:ser>
        <c:ser>
          <c:idx val="3"/>
          <c:order val="3"/>
          <c:tx>
            <c:strRef>
              <c:f>'Cohort-32D'!$CY$5</c:f>
              <c:strCache>
                <c:ptCount val="1"/>
                <c:pt idx="0">
                  <c:v>3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'Cohort-32D'!$CU$5:$CW$5</c:f>
              <c:numCache>
                <c:formatCode>0.00</c:formatCode>
                <c:ptCount val="3"/>
                <c:pt idx="0">
                  <c:v>0.59883933687586111</c:v>
                </c:pt>
                <c:pt idx="1">
                  <c:v>0.70839340713569532</c:v>
                </c:pt>
                <c:pt idx="2">
                  <c:v>0.88301890583518472</c:v>
                </c:pt>
              </c:numCache>
            </c:numRef>
          </c:yVal>
        </c:ser>
        <c:ser>
          <c:idx val="4"/>
          <c:order val="4"/>
          <c:tx>
            <c:strRef>
              <c:f>'Cohort-32D'!$CY$6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'Cohort-32D'!$CU$6:$CW$6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'Cohort-32D'!$CY$7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'Cohort-32D'!$CU$7:$CW$7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'Cohort-32D'!$CY$8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'Cohort-32D'!$CU$8:$CW$8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490694144"/>
        <c:axId val="490758144"/>
      </c:scatterChart>
      <c:catAx>
        <c:axId val="490694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758144"/>
        <c:crossesAt val="0"/>
        <c:lblAlgn val="ctr"/>
        <c:lblOffset val="100"/>
        <c:tickLblSkip val="1"/>
        <c:tickMarkSkip val="1"/>
      </c:catAx>
      <c:valAx>
        <c:axId val="490758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64E-2"/>
              <c:y val="0.209796933335957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0694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204288"/>
        <c:axId val="352205824"/>
      </c:barChart>
      <c:catAx>
        <c:axId val="352204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205824"/>
        <c:crossesAt val="0"/>
        <c:lblAlgn val="ctr"/>
        <c:lblOffset val="100"/>
        <c:tickLblSkip val="1"/>
        <c:tickMarkSkip val="1"/>
      </c:catAx>
      <c:valAx>
        <c:axId val="352205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204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243712"/>
        <c:axId val="352245248"/>
      </c:barChart>
      <c:catAx>
        <c:axId val="352243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245248"/>
        <c:crossesAt val="0"/>
        <c:lblAlgn val="ctr"/>
        <c:lblOffset val="100"/>
        <c:tickLblSkip val="1"/>
        <c:tickMarkSkip val="1"/>
      </c:catAx>
      <c:valAx>
        <c:axId val="352245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243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717824"/>
        <c:axId val="352719616"/>
      </c:barChart>
      <c:catAx>
        <c:axId val="35271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719616"/>
        <c:crossesAt val="0"/>
        <c:lblAlgn val="ctr"/>
        <c:lblOffset val="100"/>
        <c:tickLblSkip val="1"/>
        <c:tickMarkSkip val="1"/>
      </c:catAx>
      <c:valAx>
        <c:axId val="352719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71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744960"/>
        <c:axId val="352746496"/>
      </c:barChart>
      <c:catAx>
        <c:axId val="352744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746496"/>
        <c:crossesAt val="0"/>
        <c:lblAlgn val="ctr"/>
        <c:lblOffset val="100"/>
        <c:tickLblSkip val="1"/>
        <c:tickMarkSkip val="1"/>
      </c:catAx>
      <c:valAx>
        <c:axId val="352746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744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813056"/>
        <c:axId val="352814592"/>
      </c:barChart>
      <c:catAx>
        <c:axId val="352813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814592"/>
        <c:crossesAt val="0"/>
        <c:lblAlgn val="ctr"/>
        <c:lblOffset val="100"/>
        <c:tickLblSkip val="1"/>
        <c:tickMarkSkip val="1"/>
      </c:catAx>
      <c:valAx>
        <c:axId val="352814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813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2835840"/>
        <c:axId val="352841728"/>
      </c:barChart>
      <c:catAx>
        <c:axId val="352835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841728"/>
        <c:crossesAt val="0"/>
        <c:lblAlgn val="ctr"/>
        <c:lblOffset val="100"/>
        <c:tickLblSkip val="1"/>
        <c:tickMarkSkip val="1"/>
      </c:catAx>
      <c:valAx>
        <c:axId val="352841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2835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3374208"/>
        <c:axId val="353375744"/>
      </c:barChart>
      <c:catAx>
        <c:axId val="353374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375744"/>
        <c:crossesAt val="0"/>
        <c:lblAlgn val="ctr"/>
        <c:lblOffset val="100"/>
        <c:tickLblSkip val="1"/>
        <c:tickMarkSkip val="1"/>
      </c:catAx>
      <c:valAx>
        <c:axId val="353375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374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'#2-32D'!$BL$71:$BO$71</c:f>
              <c:numCache>
                <c:formatCode>0.0</c:formatCode>
                <c:ptCount val="4"/>
                <c:pt idx="0">
                  <c:v>25.669949381818178</c:v>
                </c:pt>
                <c:pt idx="1">
                  <c:v>8.1292522261130564</c:v>
                </c:pt>
                <c:pt idx="2">
                  <c:v>58.193717423481033</c:v>
                </c:pt>
                <c:pt idx="3">
                  <c:v>1.1170942747393451</c:v>
                </c:pt>
              </c:numCache>
            </c:numRef>
          </c:val>
        </c:ser>
        <c:gapWidth val="50"/>
        <c:axId val="353401088"/>
        <c:axId val="353406976"/>
      </c:barChart>
      <c:catAx>
        <c:axId val="353401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406976"/>
        <c:crossesAt val="0"/>
        <c:lblAlgn val="ctr"/>
        <c:lblOffset val="100"/>
        <c:tickLblSkip val="1"/>
        <c:tickMarkSkip val="1"/>
      </c:catAx>
      <c:valAx>
        <c:axId val="353406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401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'#2-32D'!$BS$71:$BV$71</c:f>
              <c:numCache>
                <c:formatCode>0.00</c:formatCode>
                <c:ptCount val="4"/>
                <c:pt idx="0">
                  <c:v>0.4411120395525791</c:v>
                </c:pt>
                <c:pt idx="1">
                  <c:v>0.1396929528827956</c:v>
                </c:pt>
                <c:pt idx="2">
                  <c:v>1</c:v>
                </c:pt>
                <c:pt idx="3">
                  <c:v>1.919613188843303E-2</c:v>
                </c:pt>
              </c:numCache>
            </c:numRef>
          </c:val>
        </c:ser>
        <c:gapWidth val="50"/>
        <c:axId val="353563392"/>
        <c:axId val="353564928"/>
      </c:barChart>
      <c:catAx>
        <c:axId val="353563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564928"/>
        <c:crossesAt val="0"/>
        <c:lblAlgn val="ctr"/>
        <c:lblOffset val="100"/>
        <c:tickLblSkip val="1"/>
        <c:tickMarkSkip val="1"/>
      </c:catAx>
      <c:valAx>
        <c:axId val="35356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563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'#2-32D'!$BZ$71:$CC$71</c:f>
              <c:numCache>
                <c:formatCode>0.00</c:formatCode>
                <c:ptCount val="4"/>
                <c:pt idx="0">
                  <c:v>0.55888796044742084</c:v>
                </c:pt>
                <c:pt idx="1">
                  <c:v>0.68331639049234194</c:v>
                </c:pt>
                <c:pt idx="2">
                  <c:v>0.8603070471172044</c:v>
                </c:pt>
                <c:pt idx="3">
                  <c:v>0.98080386811156695</c:v>
                </c:pt>
              </c:numCache>
            </c:numRef>
          </c:val>
        </c:ser>
        <c:gapWidth val="50"/>
        <c:axId val="353660288"/>
        <c:axId val="353662080"/>
      </c:barChart>
      <c:catAx>
        <c:axId val="353660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662080"/>
        <c:crossesAt val="0"/>
        <c:lblAlgn val="ctr"/>
        <c:lblOffset val="100"/>
        <c:tickLblSkip val="1"/>
        <c:tickMarkSkip val="1"/>
      </c:catAx>
      <c:valAx>
        <c:axId val="353662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660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'#1-32D'!$BJ$171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'#1-32D'!$BL$171:$BO$171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491499904"/>
        <c:axId val="491569152"/>
      </c:barChart>
      <c:catAx>
        <c:axId val="491499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569152"/>
        <c:crossesAt val="0"/>
        <c:lblAlgn val="ctr"/>
        <c:lblOffset val="100"/>
        <c:tickLblSkip val="1"/>
        <c:tickMarkSkip val="1"/>
      </c:catAx>
      <c:valAx>
        <c:axId val="4915691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8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91499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'#2-32D'!$CG$71:$CJ$71</c:f>
              <c:numCache>
                <c:formatCode>0.0</c:formatCode>
                <c:ptCount val="4"/>
                <c:pt idx="0">
                  <c:v>24.552855107078834</c:v>
                </c:pt>
                <c:pt idx="1">
                  <c:v>7.0121579513737116</c:v>
                </c:pt>
                <c:pt idx="2">
                  <c:v>57.076623148741689</c:v>
                </c:pt>
                <c:pt idx="3">
                  <c:v>0</c:v>
                </c:pt>
              </c:numCache>
            </c:numRef>
          </c:val>
        </c:ser>
        <c:gapWidth val="50"/>
        <c:axId val="353777536"/>
        <c:axId val="353779072"/>
      </c:barChart>
      <c:catAx>
        <c:axId val="353777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779072"/>
        <c:crossesAt val="0"/>
        <c:lblAlgn val="ctr"/>
        <c:lblOffset val="100"/>
        <c:tickLblSkip val="1"/>
        <c:tickMarkSkip val="1"/>
      </c:catAx>
      <c:valAx>
        <c:axId val="353779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77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'#2-32D'!$CN$71:$CQ$71</c:f>
              <c:numCache>
                <c:formatCode>0.00</c:formatCode>
                <c:ptCount val="4"/>
                <c:pt idx="0">
                  <c:v>0.43017357637108433</c:v>
                </c:pt>
                <c:pt idx="1">
                  <c:v>0.12285516494379892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353902976"/>
        <c:axId val="353904512"/>
      </c:barChart>
      <c:catAx>
        <c:axId val="353902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904512"/>
        <c:crossesAt val="0"/>
        <c:lblAlgn val="ctr"/>
        <c:lblOffset val="100"/>
        <c:tickLblSkip val="1"/>
        <c:tickMarkSkip val="1"/>
      </c:catAx>
      <c:valAx>
        <c:axId val="353904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902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'#2-32D'!$CU$71:$CX$71</c:f>
              <c:numCache>
                <c:formatCode>0.00</c:formatCode>
                <c:ptCount val="4"/>
                <c:pt idx="0">
                  <c:v>0.56982642362891567</c:v>
                </c:pt>
                <c:pt idx="1">
                  <c:v>0.71440559882781063</c:v>
                </c:pt>
                <c:pt idx="2">
                  <c:v>0.87714483505620111</c:v>
                </c:pt>
                <c:pt idx="3">
                  <c:v>1</c:v>
                </c:pt>
              </c:numCache>
            </c:numRef>
          </c:val>
        </c:ser>
        <c:gapWidth val="50"/>
        <c:axId val="353999104"/>
        <c:axId val="354013184"/>
      </c:barChart>
      <c:catAx>
        <c:axId val="353999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013184"/>
        <c:crossesAt val="0"/>
        <c:lblAlgn val="ctr"/>
        <c:lblOffset val="100"/>
        <c:tickLblSkip val="1"/>
        <c:tickMarkSkip val="1"/>
      </c:catAx>
      <c:valAx>
        <c:axId val="354013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3999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'#2-32D'!$CG$51:$CJ$51</c:f>
              <c:numCache>
                <c:formatCode>0.0</c:formatCode>
                <c:ptCount val="4"/>
                <c:pt idx="0">
                  <c:v>23.582037083965282</c:v>
                </c:pt>
                <c:pt idx="1">
                  <c:v>6.202398713107125</c:v>
                </c:pt>
                <c:pt idx="2">
                  <c:v>64.484864781373076</c:v>
                </c:pt>
                <c:pt idx="3">
                  <c:v>0</c:v>
                </c:pt>
              </c:numCache>
            </c:numRef>
          </c:val>
        </c:ser>
        <c:gapWidth val="50"/>
        <c:axId val="354042624"/>
        <c:axId val="354044160"/>
      </c:barChart>
      <c:catAx>
        <c:axId val="354042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044160"/>
        <c:crossesAt val="0"/>
        <c:lblAlgn val="ctr"/>
        <c:lblOffset val="100"/>
        <c:tickLblSkip val="1"/>
        <c:tickMarkSkip val="1"/>
      </c:catAx>
      <c:valAx>
        <c:axId val="354044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14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042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'#2-32D'!$CN$51:$CQ$51</c:f>
              <c:numCache>
                <c:formatCode>0.00</c:formatCode>
                <c:ptCount val="4"/>
                <c:pt idx="0">
                  <c:v>0.36569879093205643</c:v>
                </c:pt>
                <c:pt idx="1">
                  <c:v>9.6183790322511981E-2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354089216"/>
        <c:axId val="354095104"/>
      </c:barChart>
      <c:catAx>
        <c:axId val="354089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095104"/>
        <c:crossesAt val="0"/>
        <c:lblAlgn val="ctr"/>
        <c:lblOffset val="100"/>
        <c:tickLblSkip val="1"/>
        <c:tickMarkSkip val="1"/>
      </c:catAx>
      <c:valAx>
        <c:axId val="354095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089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'#2-32D'!$CU$51:$CX$51</c:f>
              <c:numCache>
                <c:formatCode>0.00</c:formatCode>
                <c:ptCount val="4"/>
                <c:pt idx="0">
                  <c:v>0.63430120906794363</c:v>
                </c:pt>
                <c:pt idx="1">
                  <c:v>0.7369863048292602</c:v>
                </c:pt>
                <c:pt idx="2">
                  <c:v>0.90381620967748799</c:v>
                </c:pt>
                <c:pt idx="3">
                  <c:v>1</c:v>
                </c:pt>
              </c:numCache>
            </c:numRef>
          </c:val>
        </c:ser>
        <c:gapWidth val="50"/>
        <c:axId val="354120064"/>
        <c:axId val="354121600"/>
      </c:barChart>
      <c:catAx>
        <c:axId val="354120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121600"/>
        <c:crossesAt val="0"/>
        <c:lblAlgn val="ctr"/>
        <c:lblOffset val="100"/>
        <c:tickLblSkip val="1"/>
        <c:tickMarkSkip val="1"/>
      </c:catAx>
      <c:valAx>
        <c:axId val="354121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01E-2"/>
              <c:y val="0.2087843691868625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120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'#2-32D'!$BL$51:$BO$51</c:f>
              <c:numCache>
                <c:formatCode>0.0</c:formatCode>
                <c:ptCount val="4"/>
                <c:pt idx="0">
                  <c:v>25.350314836363637</c:v>
                </c:pt>
                <c:pt idx="1">
                  <c:v>7.9706764655054805</c:v>
                </c:pt>
                <c:pt idx="2">
                  <c:v>66.253142533771438</c:v>
                </c:pt>
                <c:pt idx="3">
                  <c:v>1.7682777523983555</c:v>
                </c:pt>
              </c:numCache>
            </c:numRef>
          </c:val>
        </c:ser>
        <c:gapWidth val="50"/>
        <c:axId val="354376320"/>
        <c:axId val="354414976"/>
      </c:barChart>
      <c:catAx>
        <c:axId val="354376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414976"/>
        <c:crossesAt val="0"/>
        <c:lblAlgn val="ctr"/>
        <c:lblOffset val="100"/>
        <c:tickLblSkip val="1"/>
        <c:tickMarkSkip val="1"/>
      </c:catAx>
      <c:valAx>
        <c:axId val="354414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4376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'#2-32D'!$BS$51:$BV$51</c:f>
              <c:numCache>
                <c:formatCode>0.00</c:formatCode>
                <c:ptCount val="4"/>
                <c:pt idx="0">
                  <c:v>0.38262811191849105</c:v>
                </c:pt>
                <c:pt idx="1">
                  <c:v>0.12030639092240131</c:v>
                </c:pt>
                <c:pt idx="2">
                  <c:v>1</c:v>
                </c:pt>
                <c:pt idx="3">
                  <c:v>2.6689718929136158E-2</c:v>
                </c:pt>
              </c:numCache>
            </c:numRef>
          </c:val>
        </c:ser>
        <c:gapWidth val="50"/>
        <c:axId val="356668544"/>
        <c:axId val="356670080"/>
      </c:barChart>
      <c:catAx>
        <c:axId val="356668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670080"/>
        <c:crossesAt val="0"/>
        <c:lblAlgn val="ctr"/>
        <c:lblOffset val="100"/>
        <c:tickLblSkip val="1"/>
        <c:tickMarkSkip val="1"/>
      </c:catAx>
      <c:valAx>
        <c:axId val="356670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668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'#2-32D'!$BX$51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'#2-32D'!$BZ$33:$CC$33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'#2-32D'!$BZ$51:$CC$51</c:f>
              <c:numCache>
                <c:formatCode>0.00</c:formatCode>
                <c:ptCount val="4"/>
                <c:pt idx="0">
                  <c:v>0.61737188808150889</c:v>
                </c:pt>
                <c:pt idx="1">
                  <c:v>0.68557879785887388</c:v>
                </c:pt>
                <c:pt idx="2">
                  <c:v>0.87969360907759864</c:v>
                </c:pt>
                <c:pt idx="3">
                  <c:v>0.97331028107086381</c:v>
                </c:pt>
              </c:numCache>
            </c:numRef>
          </c:val>
        </c:ser>
        <c:gapWidth val="50"/>
        <c:axId val="356740480"/>
        <c:axId val="356742272"/>
      </c:barChart>
      <c:catAx>
        <c:axId val="356740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742272"/>
        <c:crossesAt val="0"/>
        <c:lblAlgn val="ctr"/>
        <c:lblOffset val="100"/>
        <c:tickLblSkip val="1"/>
        <c:tickMarkSkip val="1"/>
      </c:catAx>
      <c:valAx>
        <c:axId val="356742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8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6740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'#2-32D'!$BJ$33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'#2-32D'!$AJ$41:$AM$41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'#2-32D'!$BL$34:$BO$34</c:f>
              <c:numCache>
                <c:formatCode>0.0</c:formatCode>
                <c:ptCount val="4"/>
                <c:pt idx="0">
                  <c:v>25.510132109090907</c:v>
                </c:pt>
                <c:pt idx="1">
                  <c:v>8.0499643458092685</c:v>
                </c:pt>
                <c:pt idx="2">
                  <c:v>62.223429978626235</c:v>
                </c:pt>
                <c:pt idx="3">
                  <c:v>1.4426860135688502</c:v>
                </c:pt>
              </c:numCache>
            </c:numRef>
          </c:val>
        </c:ser>
        <c:gapWidth val="50"/>
        <c:axId val="357012992"/>
        <c:axId val="357014528"/>
      </c:barChart>
      <c:scatterChart>
        <c:scatterStyle val="lineMarker"/>
        <c:ser>
          <c:idx val="1"/>
          <c:order val="1"/>
          <c:tx>
            <c:strRef>
              <c:f>'#2-32D'!$BG$3</c:f>
              <c:strCache>
                <c:ptCount val="1"/>
                <c:pt idx="0">
                  <c:v>2.01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'#2-32D'!$BL$3:$BO$3</c:f>
              <c:numCache>
                <c:formatCode>0.0</c:formatCode>
                <c:ptCount val="4"/>
                <c:pt idx="0">
                  <c:v>25.350314836363637</c:v>
                </c:pt>
                <c:pt idx="1">
                  <c:v>7.9706764655054805</c:v>
                </c:pt>
                <c:pt idx="2">
                  <c:v>66.253142533771438</c:v>
                </c:pt>
                <c:pt idx="3">
                  <c:v>1.7682777523983555</c:v>
                </c:pt>
              </c:numCache>
            </c:numRef>
          </c:yVal>
        </c:ser>
        <c:ser>
          <c:idx val="2"/>
          <c:order val="2"/>
          <c:tx>
            <c:strRef>
              <c:f>'#2-32D'!$BG$4</c:f>
              <c:strCache>
                <c:ptCount val="1"/>
                <c:pt idx="0">
                  <c:v>2.02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'#2-32D'!$BL$4:$BO$4</c:f>
              <c:numCache>
                <c:formatCode>0.0</c:formatCode>
                <c:ptCount val="4"/>
                <c:pt idx="0">
                  <c:v>25.669949381818178</c:v>
                </c:pt>
                <c:pt idx="1">
                  <c:v>8.1292522261130564</c:v>
                </c:pt>
                <c:pt idx="2">
                  <c:v>58.193717423481033</c:v>
                </c:pt>
                <c:pt idx="3">
                  <c:v>1.1170942747393451</c:v>
                </c:pt>
              </c:numCache>
            </c:numRef>
          </c:yVal>
        </c:ser>
        <c:ser>
          <c:idx val="3"/>
          <c:order val="3"/>
          <c:tx>
            <c:strRef>
              <c:f>'#2-32D'!$BG$5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'#2-32D'!$BG$6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'#2-32D'!$BG$7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'#2-32D'!$BG$8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'#2-32D'!$BG$9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'#2-32D'!$BG$10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'#2-32D'!$BL$10:$BO$10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57012992"/>
        <c:axId val="357014528"/>
      </c:scatterChart>
      <c:catAx>
        <c:axId val="357012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7014528"/>
        <c:crossesAt val="0"/>
        <c:lblAlgn val="ctr"/>
        <c:lblOffset val="100"/>
        <c:tickLblSkip val="1"/>
        <c:tickMarkSkip val="1"/>
      </c:catAx>
      <c:valAx>
        <c:axId val="357014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7012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1.xml"/><Relationship Id="rId18" Type="http://schemas.openxmlformats.org/officeDocument/2006/relationships/chart" Target="../charts/chart296.xml"/><Relationship Id="rId26" Type="http://schemas.openxmlformats.org/officeDocument/2006/relationships/chart" Target="../charts/chart304.xml"/><Relationship Id="rId39" Type="http://schemas.openxmlformats.org/officeDocument/2006/relationships/chart" Target="../charts/chart317.xml"/><Relationship Id="rId21" Type="http://schemas.openxmlformats.org/officeDocument/2006/relationships/chart" Target="../charts/chart299.xml"/><Relationship Id="rId34" Type="http://schemas.openxmlformats.org/officeDocument/2006/relationships/chart" Target="../charts/chart312.xml"/><Relationship Id="rId42" Type="http://schemas.openxmlformats.org/officeDocument/2006/relationships/chart" Target="../charts/chart320.xml"/><Relationship Id="rId47" Type="http://schemas.openxmlformats.org/officeDocument/2006/relationships/chart" Target="../charts/chart324.xml"/><Relationship Id="rId50" Type="http://schemas.openxmlformats.org/officeDocument/2006/relationships/chart" Target="../charts/chart327.xml"/><Relationship Id="rId55" Type="http://schemas.openxmlformats.org/officeDocument/2006/relationships/chart" Target="../charts/chart332.xml"/><Relationship Id="rId7" Type="http://schemas.openxmlformats.org/officeDocument/2006/relationships/chart" Target="../charts/chart285.xml"/><Relationship Id="rId12" Type="http://schemas.openxmlformats.org/officeDocument/2006/relationships/chart" Target="../charts/chart290.xml"/><Relationship Id="rId17" Type="http://schemas.openxmlformats.org/officeDocument/2006/relationships/chart" Target="../charts/chart295.xml"/><Relationship Id="rId25" Type="http://schemas.openxmlformats.org/officeDocument/2006/relationships/chart" Target="../charts/chart303.xml"/><Relationship Id="rId33" Type="http://schemas.openxmlformats.org/officeDocument/2006/relationships/chart" Target="../charts/chart311.xml"/><Relationship Id="rId38" Type="http://schemas.openxmlformats.org/officeDocument/2006/relationships/chart" Target="../charts/chart316.xml"/><Relationship Id="rId46" Type="http://schemas.openxmlformats.org/officeDocument/2006/relationships/chart" Target="../charts/chart323.xml"/><Relationship Id="rId2" Type="http://schemas.openxmlformats.org/officeDocument/2006/relationships/chart" Target="../charts/chart280.xml"/><Relationship Id="rId16" Type="http://schemas.openxmlformats.org/officeDocument/2006/relationships/chart" Target="../charts/chart294.xml"/><Relationship Id="rId20" Type="http://schemas.openxmlformats.org/officeDocument/2006/relationships/chart" Target="../charts/chart298.xml"/><Relationship Id="rId29" Type="http://schemas.openxmlformats.org/officeDocument/2006/relationships/chart" Target="../charts/chart307.xml"/><Relationship Id="rId41" Type="http://schemas.openxmlformats.org/officeDocument/2006/relationships/chart" Target="../charts/chart319.xml"/><Relationship Id="rId54" Type="http://schemas.openxmlformats.org/officeDocument/2006/relationships/chart" Target="../charts/chart331.xml"/><Relationship Id="rId1" Type="http://schemas.openxmlformats.org/officeDocument/2006/relationships/chart" Target="../charts/chart279.xml"/><Relationship Id="rId6" Type="http://schemas.openxmlformats.org/officeDocument/2006/relationships/chart" Target="../charts/chart284.xml"/><Relationship Id="rId11" Type="http://schemas.openxmlformats.org/officeDocument/2006/relationships/chart" Target="../charts/chart289.xml"/><Relationship Id="rId24" Type="http://schemas.openxmlformats.org/officeDocument/2006/relationships/chart" Target="../charts/chart302.xml"/><Relationship Id="rId32" Type="http://schemas.openxmlformats.org/officeDocument/2006/relationships/chart" Target="../charts/chart310.xml"/><Relationship Id="rId37" Type="http://schemas.openxmlformats.org/officeDocument/2006/relationships/chart" Target="../charts/chart315.xml"/><Relationship Id="rId40" Type="http://schemas.openxmlformats.org/officeDocument/2006/relationships/chart" Target="../charts/chart318.xml"/><Relationship Id="rId45" Type="http://schemas.openxmlformats.org/officeDocument/2006/relationships/chart" Target="../charts/chart322.xml"/><Relationship Id="rId53" Type="http://schemas.openxmlformats.org/officeDocument/2006/relationships/chart" Target="../charts/chart330.xml"/><Relationship Id="rId5" Type="http://schemas.openxmlformats.org/officeDocument/2006/relationships/chart" Target="../charts/chart283.xml"/><Relationship Id="rId15" Type="http://schemas.openxmlformats.org/officeDocument/2006/relationships/chart" Target="../charts/chart293.xml"/><Relationship Id="rId23" Type="http://schemas.openxmlformats.org/officeDocument/2006/relationships/chart" Target="../charts/chart301.xml"/><Relationship Id="rId28" Type="http://schemas.openxmlformats.org/officeDocument/2006/relationships/chart" Target="../charts/chart306.xml"/><Relationship Id="rId36" Type="http://schemas.openxmlformats.org/officeDocument/2006/relationships/chart" Target="../charts/chart314.xml"/><Relationship Id="rId49" Type="http://schemas.openxmlformats.org/officeDocument/2006/relationships/chart" Target="../charts/chart326.xml"/><Relationship Id="rId10" Type="http://schemas.openxmlformats.org/officeDocument/2006/relationships/chart" Target="../charts/chart288.xml"/><Relationship Id="rId19" Type="http://schemas.openxmlformats.org/officeDocument/2006/relationships/chart" Target="../charts/chart297.xml"/><Relationship Id="rId31" Type="http://schemas.openxmlformats.org/officeDocument/2006/relationships/chart" Target="../charts/chart309.xml"/><Relationship Id="rId44" Type="http://schemas.openxmlformats.org/officeDocument/2006/relationships/chart" Target="../charts/chart321.xml"/><Relationship Id="rId52" Type="http://schemas.openxmlformats.org/officeDocument/2006/relationships/chart" Target="../charts/chart329.xml"/><Relationship Id="rId4" Type="http://schemas.openxmlformats.org/officeDocument/2006/relationships/chart" Target="../charts/chart282.xml"/><Relationship Id="rId9" Type="http://schemas.openxmlformats.org/officeDocument/2006/relationships/chart" Target="../charts/chart287.xml"/><Relationship Id="rId14" Type="http://schemas.openxmlformats.org/officeDocument/2006/relationships/chart" Target="../charts/chart292.xml"/><Relationship Id="rId22" Type="http://schemas.openxmlformats.org/officeDocument/2006/relationships/chart" Target="../charts/chart300.xml"/><Relationship Id="rId27" Type="http://schemas.openxmlformats.org/officeDocument/2006/relationships/chart" Target="../charts/chart305.xml"/><Relationship Id="rId30" Type="http://schemas.openxmlformats.org/officeDocument/2006/relationships/chart" Target="../charts/chart308.xml"/><Relationship Id="rId35" Type="http://schemas.openxmlformats.org/officeDocument/2006/relationships/chart" Target="../charts/chart313.xml"/><Relationship Id="rId43" Type="http://schemas.openxmlformats.org/officeDocument/2006/relationships/image" Target="../media/image1.jpeg"/><Relationship Id="rId48" Type="http://schemas.openxmlformats.org/officeDocument/2006/relationships/chart" Target="../charts/chart325.xml"/><Relationship Id="rId8" Type="http://schemas.openxmlformats.org/officeDocument/2006/relationships/chart" Target="../charts/chart286.xml"/><Relationship Id="rId51" Type="http://schemas.openxmlformats.org/officeDocument/2006/relationships/chart" Target="../charts/chart328.xml"/><Relationship Id="rId3" Type="http://schemas.openxmlformats.org/officeDocument/2006/relationships/chart" Target="../charts/chart28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5.xml"/><Relationship Id="rId7" Type="http://schemas.openxmlformats.org/officeDocument/2006/relationships/image" Target="../media/image1.jpeg"/><Relationship Id="rId2" Type="http://schemas.openxmlformats.org/officeDocument/2006/relationships/chart" Target="../charts/chart334.xml"/><Relationship Id="rId1" Type="http://schemas.openxmlformats.org/officeDocument/2006/relationships/chart" Target="../charts/chart333.xml"/><Relationship Id="rId6" Type="http://schemas.openxmlformats.org/officeDocument/2006/relationships/chart" Target="../charts/chart338.xml"/><Relationship Id="rId5" Type="http://schemas.openxmlformats.org/officeDocument/2006/relationships/chart" Target="../charts/chart337.xml"/><Relationship Id="rId4" Type="http://schemas.openxmlformats.org/officeDocument/2006/relationships/chart" Target="../charts/chart33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51.xml"/><Relationship Id="rId18" Type="http://schemas.openxmlformats.org/officeDocument/2006/relationships/chart" Target="../charts/chart356.xml"/><Relationship Id="rId26" Type="http://schemas.openxmlformats.org/officeDocument/2006/relationships/chart" Target="../charts/chart364.xml"/><Relationship Id="rId39" Type="http://schemas.openxmlformats.org/officeDocument/2006/relationships/chart" Target="../charts/chart377.xml"/><Relationship Id="rId21" Type="http://schemas.openxmlformats.org/officeDocument/2006/relationships/chart" Target="../charts/chart359.xml"/><Relationship Id="rId34" Type="http://schemas.openxmlformats.org/officeDocument/2006/relationships/chart" Target="../charts/chart372.xml"/><Relationship Id="rId42" Type="http://schemas.openxmlformats.org/officeDocument/2006/relationships/chart" Target="../charts/chart380.xml"/><Relationship Id="rId47" Type="http://schemas.openxmlformats.org/officeDocument/2006/relationships/chart" Target="../charts/chart384.xml"/><Relationship Id="rId50" Type="http://schemas.openxmlformats.org/officeDocument/2006/relationships/chart" Target="../charts/chart387.xml"/><Relationship Id="rId55" Type="http://schemas.openxmlformats.org/officeDocument/2006/relationships/chart" Target="../charts/chart392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17" Type="http://schemas.openxmlformats.org/officeDocument/2006/relationships/chart" Target="../charts/chart355.xml"/><Relationship Id="rId25" Type="http://schemas.openxmlformats.org/officeDocument/2006/relationships/chart" Target="../charts/chart363.xml"/><Relationship Id="rId33" Type="http://schemas.openxmlformats.org/officeDocument/2006/relationships/chart" Target="../charts/chart371.xml"/><Relationship Id="rId38" Type="http://schemas.openxmlformats.org/officeDocument/2006/relationships/chart" Target="../charts/chart376.xml"/><Relationship Id="rId46" Type="http://schemas.openxmlformats.org/officeDocument/2006/relationships/chart" Target="../charts/chart383.xml"/><Relationship Id="rId2" Type="http://schemas.openxmlformats.org/officeDocument/2006/relationships/chart" Target="../charts/chart340.xml"/><Relationship Id="rId16" Type="http://schemas.openxmlformats.org/officeDocument/2006/relationships/chart" Target="../charts/chart354.xml"/><Relationship Id="rId20" Type="http://schemas.openxmlformats.org/officeDocument/2006/relationships/chart" Target="../charts/chart358.xml"/><Relationship Id="rId29" Type="http://schemas.openxmlformats.org/officeDocument/2006/relationships/chart" Target="../charts/chart367.xml"/><Relationship Id="rId41" Type="http://schemas.openxmlformats.org/officeDocument/2006/relationships/chart" Target="../charts/chart379.xml"/><Relationship Id="rId54" Type="http://schemas.openxmlformats.org/officeDocument/2006/relationships/chart" Target="../charts/chart391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24" Type="http://schemas.openxmlformats.org/officeDocument/2006/relationships/chart" Target="../charts/chart362.xml"/><Relationship Id="rId32" Type="http://schemas.openxmlformats.org/officeDocument/2006/relationships/chart" Target="../charts/chart370.xml"/><Relationship Id="rId37" Type="http://schemas.openxmlformats.org/officeDocument/2006/relationships/chart" Target="../charts/chart375.xml"/><Relationship Id="rId40" Type="http://schemas.openxmlformats.org/officeDocument/2006/relationships/chart" Target="../charts/chart378.xml"/><Relationship Id="rId45" Type="http://schemas.openxmlformats.org/officeDocument/2006/relationships/chart" Target="../charts/chart382.xml"/><Relationship Id="rId53" Type="http://schemas.openxmlformats.org/officeDocument/2006/relationships/chart" Target="../charts/chart390.xml"/><Relationship Id="rId5" Type="http://schemas.openxmlformats.org/officeDocument/2006/relationships/chart" Target="../charts/chart343.xml"/><Relationship Id="rId15" Type="http://schemas.openxmlformats.org/officeDocument/2006/relationships/chart" Target="../charts/chart353.xml"/><Relationship Id="rId23" Type="http://schemas.openxmlformats.org/officeDocument/2006/relationships/chart" Target="../charts/chart361.xml"/><Relationship Id="rId28" Type="http://schemas.openxmlformats.org/officeDocument/2006/relationships/chart" Target="../charts/chart366.xml"/><Relationship Id="rId36" Type="http://schemas.openxmlformats.org/officeDocument/2006/relationships/chart" Target="../charts/chart374.xml"/><Relationship Id="rId49" Type="http://schemas.openxmlformats.org/officeDocument/2006/relationships/chart" Target="../charts/chart386.xml"/><Relationship Id="rId10" Type="http://schemas.openxmlformats.org/officeDocument/2006/relationships/chart" Target="../charts/chart348.xml"/><Relationship Id="rId19" Type="http://schemas.openxmlformats.org/officeDocument/2006/relationships/chart" Target="../charts/chart357.xml"/><Relationship Id="rId31" Type="http://schemas.openxmlformats.org/officeDocument/2006/relationships/chart" Target="../charts/chart369.xml"/><Relationship Id="rId44" Type="http://schemas.openxmlformats.org/officeDocument/2006/relationships/chart" Target="../charts/chart381.xml"/><Relationship Id="rId52" Type="http://schemas.openxmlformats.org/officeDocument/2006/relationships/chart" Target="../charts/chart389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Relationship Id="rId14" Type="http://schemas.openxmlformats.org/officeDocument/2006/relationships/chart" Target="../charts/chart352.xml"/><Relationship Id="rId22" Type="http://schemas.openxmlformats.org/officeDocument/2006/relationships/chart" Target="../charts/chart360.xml"/><Relationship Id="rId27" Type="http://schemas.openxmlformats.org/officeDocument/2006/relationships/chart" Target="../charts/chart365.xml"/><Relationship Id="rId30" Type="http://schemas.openxmlformats.org/officeDocument/2006/relationships/chart" Target="../charts/chart368.xml"/><Relationship Id="rId35" Type="http://schemas.openxmlformats.org/officeDocument/2006/relationships/chart" Target="../charts/chart373.xml"/><Relationship Id="rId43" Type="http://schemas.openxmlformats.org/officeDocument/2006/relationships/image" Target="../media/image1.jpeg"/><Relationship Id="rId48" Type="http://schemas.openxmlformats.org/officeDocument/2006/relationships/chart" Target="../charts/chart385.xml"/><Relationship Id="rId56" Type="http://schemas.openxmlformats.org/officeDocument/2006/relationships/image" Target="../media/image7.emf"/><Relationship Id="rId8" Type="http://schemas.openxmlformats.org/officeDocument/2006/relationships/chart" Target="../charts/chart346.xml"/><Relationship Id="rId51" Type="http://schemas.openxmlformats.org/officeDocument/2006/relationships/chart" Target="../charts/chart388.xml"/><Relationship Id="rId3" Type="http://schemas.openxmlformats.org/officeDocument/2006/relationships/chart" Target="../charts/chart341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9" Type="http://schemas.openxmlformats.org/officeDocument/2006/relationships/chart" Target="../charts/chart431.xml"/><Relationship Id="rId21" Type="http://schemas.openxmlformats.org/officeDocument/2006/relationships/chart" Target="../charts/chart413.xml"/><Relationship Id="rId34" Type="http://schemas.openxmlformats.org/officeDocument/2006/relationships/chart" Target="../charts/chart426.xml"/><Relationship Id="rId42" Type="http://schemas.openxmlformats.org/officeDocument/2006/relationships/chart" Target="../charts/chart434.xml"/><Relationship Id="rId47" Type="http://schemas.openxmlformats.org/officeDocument/2006/relationships/chart" Target="../charts/chart438.xml"/><Relationship Id="rId50" Type="http://schemas.openxmlformats.org/officeDocument/2006/relationships/chart" Target="../charts/chart441.xml"/><Relationship Id="rId55" Type="http://schemas.openxmlformats.org/officeDocument/2006/relationships/chart" Target="../charts/chart446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33" Type="http://schemas.openxmlformats.org/officeDocument/2006/relationships/chart" Target="../charts/chart425.xml"/><Relationship Id="rId38" Type="http://schemas.openxmlformats.org/officeDocument/2006/relationships/chart" Target="../charts/chart430.xml"/><Relationship Id="rId46" Type="http://schemas.openxmlformats.org/officeDocument/2006/relationships/chart" Target="../charts/chart43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29" Type="http://schemas.openxmlformats.org/officeDocument/2006/relationships/chart" Target="../charts/chart421.xml"/><Relationship Id="rId41" Type="http://schemas.openxmlformats.org/officeDocument/2006/relationships/chart" Target="../charts/chart433.xml"/><Relationship Id="rId54" Type="http://schemas.openxmlformats.org/officeDocument/2006/relationships/chart" Target="../charts/chart445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32" Type="http://schemas.openxmlformats.org/officeDocument/2006/relationships/chart" Target="../charts/chart424.xml"/><Relationship Id="rId37" Type="http://schemas.openxmlformats.org/officeDocument/2006/relationships/chart" Target="../charts/chart429.xml"/><Relationship Id="rId40" Type="http://schemas.openxmlformats.org/officeDocument/2006/relationships/chart" Target="../charts/chart432.xml"/><Relationship Id="rId45" Type="http://schemas.openxmlformats.org/officeDocument/2006/relationships/chart" Target="../charts/chart436.xml"/><Relationship Id="rId53" Type="http://schemas.openxmlformats.org/officeDocument/2006/relationships/chart" Target="../charts/chart444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36" Type="http://schemas.openxmlformats.org/officeDocument/2006/relationships/chart" Target="../charts/chart428.xml"/><Relationship Id="rId49" Type="http://schemas.openxmlformats.org/officeDocument/2006/relationships/chart" Target="../charts/chart440.xml"/><Relationship Id="rId57" Type="http://schemas.openxmlformats.org/officeDocument/2006/relationships/image" Target="../media/image9.emf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31" Type="http://schemas.openxmlformats.org/officeDocument/2006/relationships/chart" Target="../charts/chart423.xml"/><Relationship Id="rId44" Type="http://schemas.openxmlformats.org/officeDocument/2006/relationships/chart" Target="../charts/chart435.xml"/><Relationship Id="rId52" Type="http://schemas.openxmlformats.org/officeDocument/2006/relationships/chart" Target="../charts/chart443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Relationship Id="rId30" Type="http://schemas.openxmlformats.org/officeDocument/2006/relationships/chart" Target="../charts/chart422.xml"/><Relationship Id="rId35" Type="http://schemas.openxmlformats.org/officeDocument/2006/relationships/chart" Target="../charts/chart427.xml"/><Relationship Id="rId43" Type="http://schemas.openxmlformats.org/officeDocument/2006/relationships/image" Target="../media/image1.jpeg"/><Relationship Id="rId48" Type="http://schemas.openxmlformats.org/officeDocument/2006/relationships/chart" Target="../charts/chart439.xml"/><Relationship Id="rId56" Type="http://schemas.openxmlformats.org/officeDocument/2006/relationships/image" Target="../media/image8.emf"/><Relationship Id="rId8" Type="http://schemas.openxmlformats.org/officeDocument/2006/relationships/chart" Target="../charts/chart400.xml"/><Relationship Id="rId51" Type="http://schemas.openxmlformats.org/officeDocument/2006/relationships/chart" Target="../charts/chart442.xml"/><Relationship Id="rId3" Type="http://schemas.openxmlformats.org/officeDocument/2006/relationships/chart" Target="../charts/chart395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59.xml"/><Relationship Id="rId18" Type="http://schemas.openxmlformats.org/officeDocument/2006/relationships/chart" Target="../charts/chart464.xml"/><Relationship Id="rId26" Type="http://schemas.openxmlformats.org/officeDocument/2006/relationships/chart" Target="../charts/chart472.xml"/><Relationship Id="rId39" Type="http://schemas.openxmlformats.org/officeDocument/2006/relationships/chart" Target="../charts/chart485.xml"/><Relationship Id="rId21" Type="http://schemas.openxmlformats.org/officeDocument/2006/relationships/chart" Target="../charts/chart467.xml"/><Relationship Id="rId34" Type="http://schemas.openxmlformats.org/officeDocument/2006/relationships/chart" Target="../charts/chart480.xml"/><Relationship Id="rId42" Type="http://schemas.openxmlformats.org/officeDocument/2006/relationships/chart" Target="../charts/chart488.xml"/><Relationship Id="rId47" Type="http://schemas.openxmlformats.org/officeDocument/2006/relationships/chart" Target="../charts/chart492.xml"/><Relationship Id="rId50" Type="http://schemas.openxmlformats.org/officeDocument/2006/relationships/chart" Target="../charts/chart495.xml"/><Relationship Id="rId55" Type="http://schemas.openxmlformats.org/officeDocument/2006/relationships/chart" Target="../charts/chart500.xml"/><Relationship Id="rId7" Type="http://schemas.openxmlformats.org/officeDocument/2006/relationships/chart" Target="../charts/chart453.xml"/><Relationship Id="rId12" Type="http://schemas.openxmlformats.org/officeDocument/2006/relationships/chart" Target="../charts/chart458.xml"/><Relationship Id="rId17" Type="http://schemas.openxmlformats.org/officeDocument/2006/relationships/chart" Target="../charts/chart463.xml"/><Relationship Id="rId25" Type="http://schemas.openxmlformats.org/officeDocument/2006/relationships/chart" Target="../charts/chart471.xml"/><Relationship Id="rId33" Type="http://schemas.openxmlformats.org/officeDocument/2006/relationships/chart" Target="../charts/chart479.xml"/><Relationship Id="rId38" Type="http://schemas.openxmlformats.org/officeDocument/2006/relationships/chart" Target="../charts/chart484.xml"/><Relationship Id="rId46" Type="http://schemas.openxmlformats.org/officeDocument/2006/relationships/chart" Target="../charts/chart491.xml"/><Relationship Id="rId2" Type="http://schemas.openxmlformats.org/officeDocument/2006/relationships/chart" Target="../charts/chart448.xml"/><Relationship Id="rId16" Type="http://schemas.openxmlformats.org/officeDocument/2006/relationships/chart" Target="../charts/chart462.xml"/><Relationship Id="rId20" Type="http://schemas.openxmlformats.org/officeDocument/2006/relationships/chart" Target="../charts/chart466.xml"/><Relationship Id="rId29" Type="http://schemas.openxmlformats.org/officeDocument/2006/relationships/chart" Target="../charts/chart475.xml"/><Relationship Id="rId41" Type="http://schemas.openxmlformats.org/officeDocument/2006/relationships/chart" Target="../charts/chart487.xml"/><Relationship Id="rId54" Type="http://schemas.openxmlformats.org/officeDocument/2006/relationships/chart" Target="../charts/chart499.xml"/><Relationship Id="rId1" Type="http://schemas.openxmlformats.org/officeDocument/2006/relationships/chart" Target="../charts/chart447.xml"/><Relationship Id="rId6" Type="http://schemas.openxmlformats.org/officeDocument/2006/relationships/chart" Target="../charts/chart452.xml"/><Relationship Id="rId11" Type="http://schemas.openxmlformats.org/officeDocument/2006/relationships/chart" Target="../charts/chart457.xml"/><Relationship Id="rId24" Type="http://schemas.openxmlformats.org/officeDocument/2006/relationships/chart" Target="../charts/chart470.xml"/><Relationship Id="rId32" Type="http://schemas.openxmlformats.org/officeDocument/2006/relationships/chart" Target="../charts/chart478.xml"/><Relationship Id="rId37" Type="http://schemas.openxmlformats.org/officeDocument/2006/relationships/chart" Target="../charts/chart483.xml"/><Relationship Id="rId40" Type="http://schemas.openxmlformats.org/officeDocument/2006/relationships/chart" Target="../charts/chart486.xml"/><Relationship Id="rId45" Type="http://schemas.openxmlformats.org/officeDocument/2006/relationships/chart" Target="../charts/chart490.xml"/><Relationship Id="rId53" Type="http://schemas.openxmlformats.org/officeDocument/2006/relationships/chart" Target="../charts/chart498.xml"/><Relationship Id="rId5" Type="http://schemas.openxmlformats.org/officeDocument/2006/relationships/chart" Target="../charts/chart451.xml"/><Relationship Id="rId15" Type="http://schemas.openxmlformats.org/officeDocument/2006/relationships/chart" Target="../charts/chart461.xml"/><Relationship Id="rId23" Type="http://schemas.openxmlformats.org/officeDocument/2006/relationships/chart" Target="../charts/chart469.xml"/><Relationship Id="rId28" Type="http://schemas.openxmlformats.org/officeDocument/2006/relationships/chart" Target="../charts/chart474.xml"/><Relationship Id="rId36" Type="http://schemas.openxmlformats.org/officeDocument/2006/relationships/chart" Target="../charts/chart482.xml"/><Relationship Id="rId49" Type="http://schemas.openxmlformats.org/officeDocument/2006/relationships/chart" Target="../charts/chart494.xml"/><Relationship Id="rId10" Type="http://schemas.openxmlformats.org/officeDocument/2006/relationships/chart" Target="../charts/chart456.xml"/><Relationship Id="rId19" Type="http://schemas.openxmlformats.org/officeDocument/2006/relationships/chart" Target="../charts/chart465.xml"/><Relationship Id="rId31" Type="http://schemas.openxmlformats.org/officeDocument/2006/relationships/chart" Target="../charts/chart477.xml"/><Relationship Id="rId44" Type="http://schemas.openxmlformats.org/officeDocument/2006/relationships/chart" Target="../charts/chart489.xml"/><Relationship Id="rId52" Type="http://schemas.openxmlformats.org/officeDocument/2006/relationships/chart" Target="../charts/chart497.xml"/><Relationship Id="rId4" Type="http://schemas.openxmlformats.org/officeDocument/2006/relationships/chart" Target="../charts/chart450.xml"/><Relationship Id="rId9" Type="http://schemas.openxmlformats.org/officeDocument/2006/relationships/chart" Target="../charts/chart455.xml"/><Relationship Id="rId14" Type="http://schemas.openxmlformats.org/officeDocument/2006/relationships/chart" Target="../charts/chart460.xml"/><Relationship Id="rId22" Type="http://schemas.openxmlformats.org/officeDocument/2006/relationships/chart" Target="../charts/chart468.xml"/><Relationship Id="rId27" Type="http://schemas.openxmlformats.org/officeDocument/2006/relationships/chart" Target="../charts/chart473.xml"/><Relationship Id="rId30" Type="http://schemas.openxmlformats.org/officeDocument/2006/relationships/chart" Target="../charts/chart476.xml"/><Relationship Id="rId35" Type="http://schemas.openxmlformats.org/officeDocument/2006/relationships/chart" Target="../charts/chart481.xml"/><Relationship Id="rId43" Type="http://schemas.openxmlformats.org/officeDocument/2006/relationships/image" Target="../media/image1.jpeg"/><Relationship Id="rId48" Type="http://schemas.openxmlformats.org/officeDocument/2006/relationships/chart" Target="../charts/chart493.xml"/><Relationship Id="rId8" Type="http://schemas.openxmlformats.org/officeDocument/2006/relationships/chart" Target="../charts/chart454.xml"/><Relationship Id="rId51" Type="http://schemas.openxmlformats.org/officeDocument/2006/relationships/chart" Target="../charts/chart496.xml"/><Relationship Id="rId3" Type="http://schemas.openxmlformats.org/officeDocument/2006/relationships/chart" Target="../charts/chart449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13.xml"/><Relationship Id="rId18" Type="http://schemas.openxmlformats.org/officeDocument/2006/relationships/chart" Target="../charts/chart518.xml"/><Relationship Id="rId26" Type="http://schemas.openxmlformats.org/officeDocument/2006/relationships/chart" Target="../charts/chart526.xml"/><Relationship Id="rId39" Type="http://schemas.openxmlformats.org/officeDocument/2006/relationships/chart" Target="../charts/chart539.xml"/><Relationship Id="rId21" Type="http://schemas.openxmlformats.org/officeDocument/2006/relationships/chart" Target="../charts/chart521.xml"/><Relationship Id="rId34" Type="http://schemas.openxmlformats.org/officeDocument/2006/relationships/chart" Target="../charts/chart534.xml"/><Relationship Id="rId42" Type="http://schemas.openxmlformats.org/officeDocument/2006/relationships/chart" Target="../charts/chart542.xml"/><Relationship Id="rId47" Type="http://schemas.openxmlformats.org/officeDocument/2006/relationships/chart" Target="../charts/chart546.xml"/><Relationship Id="rId50" Type="http://schemas.openxmlformats.org/officeDocument/2006/relationships/chart" Target="../charts/chart549.xml"/><Relationship Id="rId55" Type="http://schemas.openxmlformats.org/officeDocument/2006/relationships/chart" Target="../charts/chart554.xml"/><Relationship Id="rId7" Type="http://schemas.openxmlformats.org/officeDocument/2006/relationships/chart" Target="../charts/chart507.xml"/><Relationship Id="rId12" Type="http://schemas.openxmlformats.org/officeDocument/2006/relationships/chart" Target="../charts/chart512.xml"/><Relationship Id="rId17" Type="http://schemas.openxmlformats.org/officeDocument/2006/relationships/chart" Target="../charts/chart517.xml"/><Relationship Id="rId25" Type="http://schemas.openxmlformats.org/officeDocument/2006/relationships/chart" Target="../charts/chart525.xml"/><Relationship Id="rId33" Type="http://schemas.openxmlformats.org/officeDocument/2006/relationships/chart" Target="../charts/chart533.xml"/><Relationship Id="rId38" Type="http://schemas.openxmlformats.org/officeDocument/2006/relationships/chart" Target="../charts/chart538.xml"/><Relationship Id="rId46" Type="http://schemas.openxmlformats.org/officeDocument/2006/relationships/chart" Target="../charts/chart545.xml"/><Relationship Id="rId2" Type="http://schemas.openxmlformats.org/officeDocument/2006/relationships/chart" Target="../charts/chart502.xml"/><Relationship Id="rId16" Type="http://schemas.openxmlformats.org/officeDocument/2006/relationships/chart" Target="../charts/chart516.xml"/><Relationship Id="rId20" Type="http://schemas.openxmlformats.org/officeDocument/2006/relationships/chart" Target="../charts/chart520.xml"/><Relationship Id="rId29" Type="http://schemas.openxmlformats.org/officeDocument/2006/relationships/chart" Target="../charts/chart529.xml"/><Relationship Id="rId41" Type="http://schemas.openxmlformats.org/officeDocument/2006/relationships/chart" Target="../charts/chart541.xml"/><Relationship Id="rId54" Type="http://schemas.openxmlformats.org/officeDocument/2006/relationships/chart" Target="../charts/chart553.xml"/><Relationship Id="rId1" Type="http://schemas.openxmlformats.org/officeDocument/2006/relationships/chart" Target="../charts/chart501.xml"/><Relationship Id="rId6" Type="http://schemas.openxmlformats.org/officeDocument/2006/relationships/chart" Target="../charts/chart506.xml"/><Relationship Id="rId11" Type="http://schemas.openxmlformats.org/officeDocument/2006/relationships/chart" Target="../charts/chart511.xml"/><Relationship Id="rId24" Type="http://schemas.openxmlformats.org/officeDocument/2006/relationships/chart" Target="../charts/chart524.xml"/><Relationship Id="rId32" Type="http://schemas.openxmlformats.org/officeDocument/2006/relationships/chart" Target="../charts/chart532.xml"/><Relationship Id="rId37" Type="http://schemas.openxmlformats.org/officeDocument/2006/relationships/chart" Target="../charts/chart537.xml"/><Relationship Id="rId40" Type="http://schemas.openxmlformats.org/officeDocument/2006/relationships/chart" Target="../charts/chart540.xml"/><Relationship Id="rId45" Type="http://schemas.openxmlformats.org/officeDocument/2006/relationships/chart" Target="../charts/chart544.xml"/><Relationship Id="rId53" Type="http://schemas.openxmlformats.org/officeDocument/2006/relationships/chart" Target="../charts/chart552.xml"/><Relationship Id="rId5" Type="http://schemas.openxmlformats.org/officeDocument/2006/relationships/chart" Target="../charts/chart505.xml"/><Relationship Id="rId15" Type="http://schemas.openxmlformats.org/officeDocument/2006/relationships/chart" Target="../charts/chart515.xml"/><Relationship Id="rId23" Type="http://schemas.openxmlformats.org/officeDocument/2006/relationships/chart" Target="../charts/chart523.xml"/><Relationship Id="rId28" Type="http://schemas.openxmlformats.org/officeDocument/2006/relationships/chart" Target="../charts/chart528.xml"/><Relationship Id="rId36" Type="http://schemas.openxmlformats.org/officeDocument/2006/relationships/chart" Target="../charts/chart536.xml"/><Relationship Id="rId49" Type="http://schemas.openxmlformats.org/officeDocument/2006/relationships/chart" Target="../charts/chart548.xml"/><Relationship Id="rId10" Type="http://schemas.openxmlformats.org/officeDocument/2006/relationships/chart" Target="../charts/chart510.xml"/><Relationship Id="rId19" Type="http://schemas.openxmlformats.org/officeDocument/2006/relationships/chart" Target="../charts/chart519.xml"/><Relationship Id="rId31" Type="http://schemas.openxmlformats.org/officeDocument/2006/relationships/chart" Target="../charts/chart531.xml"/><Relationship Id="rId44" Type="http://schemas.openxmlformats.org/officeDocument/2006/relationships/chart" Target="../charts/chart543.xml"/><Relationship Id="rId52" Type="http://schemas.openxmlformats.org/officeDocument/2006/relationships/chart" Target="../charts/chart551.xml"/><Relationship Id="rId4" Type="http://schemas.openxmlformats.org/officeDocument/2006/relationships/chart" Target="../charts/chart504.xml"/><Relationship Id="rId9" Type="http://schemas.openxmlformats.org/officeDocument/2006/relationships/chart" Target="../charts/chart509.xml"/><Relationship Id="rId14" Type="http://schemas.openxmlformats.org/officeDocument/2006/relationships/chart" Target="../charts/chart514.xml"/><Relationship Id="rId22" Type="http://schemas.openxmlformats.org/officeDocument/2006/relationships/chart" Target="../charts/chart522.xml"/><Relationship Id="rId27" Type="http://schemas.openxmlformats.org/officeDocument/2006/relationships/chart" Target="../charts/chart527.xml"/><Relationship Id="rId30" Type="http://schemas.openxmlformats.org/officeDocument/2006/relationships/chart" Target="../charts/chart530.xml"/><Relationship Id="rId35" Type="http://schemas.openxmlformats.org/officeDocument/2006/relationships/chart" Target="../charts/chart535.xml"/><Relationship Id="rId43" Type="http://schemas.openxmlformats.org/officeDocument/2006/relationships/image" Target="../media/image1.jpeg"/><Relationship Id="rId48" Type="http://schemas.openxmlformats.org/officeDocument/2006/relationships/chart" Target="../charts/chart547.xml"/><Relationship Id="rId8" Type="http://schemas.openxmlformats.org/officeDocument/2006/relationships/chart" Target="../charts/chart508.xml"/><Relationship Id="rId51" Type="http://schemas.openxmlformats.org/officeDocument/2006/relationships/chart" Target="../charts/chart550.xml"/><Relationship Id="rId3" Type="http://schemas.openxmlformats.org/officeDocument/2006/relationships/chart" Target="../charts/chart503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7.xml"/><Relationship Id="rId18" Type="http://schemas.openxmlformats.org/officeDocument/2006/relationships/chart" Target="../charts/chart572.xml"/><Relationship Id="rId26" Type="http://schemas.openxmlformats.org/officeDocument/2006/relationships/chart" Target="../charts/chart580.xml"/><Relationship Id="rId39" Type="http://schemas.openxmlformats.org/officeDocument/2006/relationships/chart" Target="../charts/chart593.xml"/><Relationship Id="rId21" Type="http://schemas.openxmlformats.org/officeDocument/2006/relationships/chart" Target="../charts/chart575.xml"/><Relationship Id="rId34" Type="http://schemas.openxmlformats.org/officeDocument/2006/relationships/chart" Target="../charts/chart588.xml"/><Relationship Id="rId42" Type="http://schemas.openxmlformats.org/officeDocument/2006/relationships/chart" Target="../charts/chart596.xml"/><Relationship Id="rId47" Type="http://schemas.openxmlformats.org/officeDocument/2006/relationships/chart" Target="../charts/chart600.xml"/><Relationship Id="rId50" Type="http://schemas.openxmlformats.org/officeDocument/2006/relationships/chart" Target="../charts/chart603.xml"/><Relationship Id="rId55" Type="http://schemas.openxmlformats.org/officeDocument/2006/relationships/chart" Target="../charts/chart608.xml"/><Relationship Id="rId7" Type="http://schemas.openxmlformats.org/officeDocument/2006/relationships/chart" Target="../charts/chart561.xml"/><Relationship Id="rId12" Type="http://schemas.openxmlformats.org/officeDocument/2006/relationships/chart" Target="../charts/chart566.xml"/><Relationship Id="rId17" Type="http://schemas.openxmlformats.org/officeDocument/2006/relationships/chart" Target="../charts/chart571.xml"/><Relationship Id="rId25" Type="http://schemas.openxmlformats.org/officeDocument/2006/relationships/chart" Target="../charts/chart579.xml"/><Relationship Id="rId33" Type="http://schemas.openxmlformats.org/officeDocument/2006/relationships/chart" Target="../charts/chart587.xml"/><Relationship Id="rId38" Type="http://schemas.openxmlformats.org/officeDocument/2006/relationships/chart" Target="../charts/chart592.xml"/><Relationship Id="rId46" Type="http://schemas.openxmlformats.org/officeDocument/2006/relationships/chart" Target="../charts/chart599.xml"/><Relationship Id="rId2" Type="http://schemas.openxmlformats.org/officeDocument/2006/relationships/chart" Target="../charts/chart556.xml"/><Relationship Id="rId16" Type="http://schemas.openxmlformats.org/officeDocument/2006/relationships/chart" Target="../charts/chart570.xml"/><Relationship Id="rId20" Type="http://schemas.openxmlformats.org/officeDocument/2006/relationships/chart" Target="../charts/chart574.xml"/><Relationship Id="rId29" Type="http://schemas.openxmlformats.org/officeDocument/2006/relationships/chart" Target="../charts/chart583.xml"/><Relationship Id="rId41" Type="http://schemas.openxmlformats.org/officeDocument/2006/relationships/chart" Target="../charts/chart595.xml"/><Relationship Id="rId54" Type="http://schemas.openxmlformats.org/officeDocument/2006/relationships/chart" Target="../charts/chart607.xml"/><Relationship Id="rId1" Type="http://schemas.openxmlformats.org/officeDocument/2006/relationships/chart" Target="../charts/chart555.xml"/><Relationship Id="rId6" Type="http://schemas.openxmlformats.org/officeDocument/2006/relationships/chart" Target="../charts/chart560.xml"/><Relationship Id="rId11" Type="http://schemas.openxmlformats.org/officeDocument/2006/relationships/chart" Target="../charts/chart565.xml"/><Relationship Id="rId24" Type="http://schemas.openxmlformats.org/officeDocument/2006/relationships/chart" Target="../charts/chart578.xml"/><Relationship Id="rId32" Type="http://schemas.openxmlformats.org/officeDocument/2006/relationships/chart" Target="../charts/chart586.xml"/><Relationship Id="rId37" Type="http://schemas.openxmlformats.org/officeDocument/2006/relationships/chart" Target="../charts/chart591.xml"/><Relationship Id="rId40" Type="http://schemas.openxmlformats.org/officeDocument/2006/relationships/chart" Target="../charts/chart594.xml"/><Relationship Id="rId45" Type="http://schemas.openxmlformats.org/officeDocument/2006/relationships/chart" Target="../charts/chart598.xml"/><Relationship Id="rId53" Type="http://schemas.openxmlformats.org/officeDocument/2006/relationships/chart" Target="../charts/chart606.xml"/><Relationship Id="rId5" Type="http://schemas.openxmlformats.org/officeDocument/2006/relationships/chart" Target="../charts/chart559.xml"/><Relationship Id="rId15" Type="http://schemas.openxmlformats.org/officeDocument/2006/relationships/chart" Target="../charts/chart569.xml"/><Relationship Id="rId23" Type="http://schemas.openxmlformats.org/officeDocument/2006/relationships/chart" Target="../charts/chart577.xml"/><Relationship Id="rId28" Type="http://schemas.openxmlformats.org/officeDocument/2006/relationships/chart" Target="../charts/chart582.xml"/><Relationship Id="rId36" Type="http://schemas.openxmlformats.org/officeDocument/2006/relationships/chart" Target="../charts/chart590.xml"/><Relationship Id="rId49" Type="http://schemas.openxmlformats.org/officeDocument/2006/relationships/chart" Target="../charts/chart602.xml"/><Relationship Id="rId10" Type="http://schemas.openxmlformats.org/officeDocument/2006/relationships/chart" Target="../charts/chart564.xml"/><Relationship Id="rId19" Type="http://schemas.openxmlformats.org/officeDocument/2006/relationships/chart" Target="../charts/chart573.xml"/><Relationship Id="rId31" Type="http://schemas.openxmlformats.org/officeDocument/2006/relationships/chart" Target="../charts/chart585.xml"/><Relationship Id="rId44" Type="http://schemas.openxmlformats.org/officeDocument/2006/relationships/chart" Target="../charts/chart597.xml"/><Relationship Id="rId52" Type="http://schemas.openxmlformats.org/officeDocument/2006/relationships/chart" Target="../charts/chart605.xml"/><Relationship Id="rId4" Type="http://schemas.openxmlformats.org/officeDocument/2006/relationships/chart" Target="../charts/chart558.xml"/><Relationship Id="rId9" Type="http://schemas.openxmlformats.org/officeDocument/2006/relationships/chart" Target="../charts/chart563.xml"/><Relationship Id="rId14" Type="http://schemas.openxmlformats.org/officeDocument/2006/relationships/chart" Target="../charts/chart568.xml"/><Relationship Id="rId22" Type="http://schemas.openxmlformats.org/officeDocument/2006/relationships/chart" Target="../charts/chart576.xml"/><Relationship Id="rId27" Type="http://schemas.openxmlformats.org/officeDocument/2006/relationships/chart" Target="../charts/chart581.xml"/><Relationship Id="rId30" Type="http://schemas.openxmlformats.org/officeDocument/2006/relationships/chart" Target="../charts/chart584.xml"/><Relationship Id="rId35" Type="http://schemas.openxmlformats.org/officeDocument/2006/relationships/chart" Target="../charts/chart589.xml"/><Relationship Id="rId43" Type="http://schemas.openxmlformats.org/officeDocument/2006/relationships/image" Target="../media/image1.jpeg"/><Relationship Id="rId48" Type="http://schemas.openxmlformats.org/officeDocument/2006/relationships/chart" Target="../charts/chart601.xml"/><Relationship Id="rId8" Type="http://schemas.openxmlformats.org/officeDocument/2006/relationships/chart" Target="../charts/chart562.xml"/><Relationship Id="rId51" Type="http://schemas.openxmlformats.org/officeDocument/2006/relationships/chart" Target="../charts/chart604.xml"/><Relationship Id="rId3" Type="http://schemas.openxmlformats.org/officeDocument/2006/relationships/chart" Target="../charts/chart557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21.xml"/><Relationship Id="rId18" Type="http://schemas.openxmlformats.org/officeDocument/2006/relationships/chart" Target="../charts/chart626.xml"/><Relationship Id="rId26" Type="http://schemas.openxmlformats.org/officeDocument/2006/relationships/chart" Target="../charts/chart634.xml"/><Relationship Id="rId39" Type="http://schemas.openxmlformats.org/officeDocument/2006/relationships/chart" Target="../charts/chart647.xml"/><Relationship Id="rId21" Type="http://schemas.openxmlformats.org/officeDocument/2006/relationships/chart" Target="../charts/chart629.xml"/><Relationship Id="rId34" Type="http://schemas.openxmlformats.org/officeDocument/2006/relationships/chart" Target="../charts/chart642.xml"/><Relationship Id="rId42" Type="http://schemas.openxmlformats.org/officeDocument/2006/relationships/chart" Target="../charts/chart650.xml"/><Relationship Id="rId47" Type="http://schemas.openxmlformats.org/officeDocument/2006/relationships/chart" Target="../charts/chart654.xml"/><Relationship Id="rId50" Type="http://schemas.openxmlformats.org/officeDocument/2006/relationships/chart" Target="../charts/chart657.xml"/><Relationship Id="rId55" Type="http://schemas.openxmlformats.org/officeDocument/2006/relationships/chart" Target="../charts/chart662.xml"/><Relationship Id="rId7" Type="http://schemas.openxmlformats.org/officeDocument/2006/relationships/chart" Target="../charts/chart615.xml"/><Relationship Id="rId12" Type="http://schemas.openxmlformats.org/officeDocument/2006/relationships/chart" Target="../charts/chart620.xml"/><Relationship Id="rId17" Type="http://schemas.openxmlformats.org/officeDocument/2006/relationships/chart" Target="../charts/chart625.xml"/><Relationship Id="rId25" Type="http://schemas.openxmlformats.org/officeDocument/2006/relationships/chart" Target="../charts/chart633.xml"/><Relationship Id="rId33" Type="http://schemas.openxmlformats.org/officeDocument/2006/relationships/chart" Target="../charts/chart641.xml"/><Relationship Id="rId38" Type="http://schemas.openxmlformats.org/officeDocument/2006/relationships/chart" Target="../charts/chart646.xml"/><Relationship Id="rId46" Type="http://schemas.openxmlformats.org/officeDocument/2006/relationships/chart" Target="../charts/chart653.xml"/><Relationship Id="rId2" Type="http://schemas.openxmlformats.org/officeDocument/2006/relationships/chart" Target="../charts/chart610.xml"/><Relationship Id="rId16" Type="http://schemas.openxmlformats.org/officeDocument/2006/relationships/chart" Target="../charts/chart624.xml"/><Relationship Id="rId20" Type="http://schemas.openxmlformats.org/officeDocument/2006/relationships/chart" Target="../charts/chart628.xml"/><Relationship Id="rId29" Type="http://schemas.openxmlformats.org/officeDocument/2006/relationships/chart" Target="../charts/chart637.xml"/><Relationship Id="rId41" Type="http://schemas.openxmlformats.org/officeDocument/2006/relationships/chart" Target="../charts/chart649.xml"/><Relationship Id="rId54" Type="http://schemas.openxmlformats.org/officeDocument/2006/relationships/chart" Target="../charts/chart661.xml"/><Relationship Id="rId1" Type="http://schemas.openxmlformats.org/officeDocument/2006/relationships/chart" Target="../charts/chart609.xml"/><Relationship Id="rId6" Type="http://schemas.openxmlformats.org/officeDocument/2006/relationships/chart" Target="../charts/chart614.xml"/><Relationship Id="rId11" Type="http://schemas.openxmlformats.org/officeDocument/2006/relationships/chart" Target="../charts/chart619.xml"/><Relationship Id="rId24" Type="http://schemas.openxmlformats.org/officeDocument/2006/relationships/chart" Target="../charts/chart632.xml"/><Relationship Id="rId32" Type="http://schemas.openxmlformats.org/officeDocument/2006/relationships/chart" Target="../charts/chart640.xml"/><Relationship Id="rId37" Type="http://schemas.openxmlformats.org/officeDocument/2006/relationships/chart" Target="../charts/chart645.xml"/><Relationship Id="rId40" Type="http://schemas.openxmlformats.org/officeDocument/2006/relationships/chart" Target="../charts/chart648.xml"/><Relationship Id="rId45" Type="http://schemas.openxmlformats.org/officeDocument/2006/relationships/chart" Target="../charts/chart652.xml"/><Relationship Id="rId53" Type="http://schemas.openxmlformats.org/officeDocument/2006/relationships/chart" Target="../charts/chart660.xml"/><Relationship Id="rId5" Type="http://schemas.openxmlformats.org/officeDocument/2006/relationships/chart" Target="../charts/chart613.xml"/><Relationship Id="rId15" Type="http://schemas.openxmlformats.org/officeDocument/2006/relationships/chart" Target="../charts/chart623.xml"/><Relationship Id="rId23" Type="http://schemas.openxmlformats.org/officeDocument/2006/relationships/chart" Target="../charts/chart631.xml"/><Relationship Id="rId28" Type="http://schemas.openxmlformats.org/officeDocument/2006/relationships/chart" Target="../charts/chart636.xml"/><Relationship Id="rId36" Type="http://schemas.openxmlformats.org/officeDocument/2006/relationships/chart" Target="../charts/chart644.xml"/><Relationship Id="rId49" Type="http://schemas.openxmlformats.org/officeDocument/2006/relationships/chart" Target="../charts/chart656.xml"/><Relationship Id="rId10" Type="http://schemas.openxmlformats.org/officeDocument/2006/relationships/chart" Target="../charts/chart618.xml"/><Relationship Id="rId19" Type="http://schemas.openxmlformats.org/officeDocument/2006/relationships/chart" Target="../charts/chart627.xml"/><Relationship Id="rId31" Type="http://schemas.openxmlformats.org/officeDocument/2006/relationships/chart" Target="../charts/chart639.xml"/><Relationship Id="rId44" Type="http://schemas.openxmlformats.org/officeDocument/2006/relationships/chart" Target="../charts/chart651.xml"/><Relationship Id="rId52" Type="http://schemas.openxmlformats.org/officeDocument/2006/relationships/chart" Target="../charts/chart659.xml"/><Relationship Id="rId4" Type="http://schemas.openxmlformats.org/officeDocument/2006/relationships/chart" Target="../charts/chart612.xml"/><Relationship Id="rId9" Type="http://schemas.openxmlformats.org/officeDocument/2006/relationships/chart" Target="../charts/chart617.xml"/><Relationship Id="rId14" Type="http://schemas.openxmlformats.org/officeDocument/2006/relationships/chart" Target="../charts/chart622.xml"/><Relationship Id="rId22" Type="http://schemas.openxmlformats.org/officeDocument/2006/relationships/chart" Target="../charts/chart630.xml"/><Relationship Id="rId27" Type="http://schemas.openxmlformats.org/officeDocument/2006/relationships/chart" Target="../charts/chart635.xml"/><Relationship Id="rId30" Type="http://schemas.openxmlformats.org/officeDocument/2006/relationships/chart" Target="../charts/chart638.xml"/><Relationship Id="rId35" Type="http://schemas.openxmlformats.org/officeDocument/2006/relationships/chart" Target="../charts/chart643.xml"/><Relationship Id="rId43" Type="http://schemas.openxmlformats.org/officeDocument/2006/relationships/image" Target="../media/image1.jpeg"/><Relationship Id="rId48" Type="http://schemas.openxmlformats.org/officeDocument/2006/relationships/chart" Target="../charts/chart655.xml"/><Relationship Id="rId8" Type="http://schemas.openxmlformats.org/officeDocument/2006/relationships/chart" Target="../charts/chart616.xml"/><Relationship Id="rId51" Type="http://schemas.openxmlformats.org/officeDocument/2006/relationships/chart" Target="../charts/chart658.xml"/><Relationship Id="rId3" Type="http://schemas.openxmlformats.org/officeDocument/2006/relationships/chart" Target="../charts/chart6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chart" Target="../charts/chart34.xml"/><Relationship Id="rId39" Type="http://schemas.openxmlformats.org/officeDocument/2006/relationships/chart" Target="../charts/chart47.xml"/><Relationship Id="rId21" Type="http://schemas.openxmlformats.org/officeDocument/2006/relationships/chart" Target="../charts/chart29.xml"/><Relationship Id="rId34" Type="http://schemas.openxmlformats.org/officeDocument/2006/relationships/chart" Target="../charts/chart42.xml"/><Relationship Id="rId42" Type="http://schemas.openxmlformats.org/officeDocument/2006/relationships/chart" Target="../charts/chart50.xml"/><Relationship Id="rId47" Type="http://schemas.openxmlformats.org/officeDocument/2006/relationships/chart" Target="../charts/chart54.xml"/><Relationship Id="rId50" Type="http://schemas.openxmlformats.org/officeDocument/2006/relationships/chart" Target="../charts/chart57.xml"/><Relationship Id="rId55" Type="http://schemas.openxmlformats.org/officeDocument/2006/relationships/chart" Target="../charts/chart62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33" Type="http://schemas.openxmlformats.org/officeDocument/2006/relationships/chart" Target="../charts/chart41.xml"/><Relationship Id="rId38" Type="http://schemas.openxmlformats.org/officeDocument/2006/relationships/chart" Target="../charts/chart46.xml"/><Relationship Id="rId46" Type="http://schemas.openxmlformats.org/officeDocument/2006/relationships/chart" Target="../charts/chart53.xml"/><Relationship Id="rId2" Type="http://schemas.openxmlformats.org/officeDocument/2006/relationships/chart" Target="../charts/chart10.xml"/><Relationship Id="rId16" Type="http://schemas.openxmlformats.org/officeDocument/2006/relationships/chart" Target="../charts/chart24.xml"/><Relationship Id="rId20" Type="http://schemas.openxmlformats.org/officeDocument/2006/relationships/chart" Target="../charts/chart28.xml"/><Relationship Id="rId29" Type="http://schemas.openxmlformats.org/officeDocument/2006/relationships/chart" Target="../charts/chart37.xml"/><Relationship Id="rId41" Type="http://schemas.openxmlformats.org/officeDocument/2006/relationships/chart" Target="../charts/chart49.xml"/><Relationship Id="rId54" Type="http://schemas.openxmlformats.org/officeDocument/2006/relationships/chart" Target="../charts/chart61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chart" Target="../charts/chart32.xml"/><Relationship Id="rId32" Type="http://schemas.openxmlformats.org/officeDocument/2006/relationships/chart" Target="../charts/chart40.xml"/><Relationship Id="rId37" Type="http://schemas.openxmlformats.org/officeDocument/2006/relationships/chart" Target="../charts/chart45.xml"/><Relationship Id="rId40" Type="http://schemas.openxmlformats.org/officeDocument/2006/relationships/chart" Target="../charts/chart48.xml"/><Relationship Id="rId45" Type="http://schemas.openxmlformats.org/officeDocument/2006/relationships/chart" Target="../charts/chart52.xml"/><Relationship Id="rId53" Type="http://schemas.openxmlformats.org/officeDocument/2006/relationships/chart" Target="../charts/chart60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36" Type="http://schemas.openxmlformats.org/officeDocument/2006/relationships/chart" Target="../charts/chart44.xml"/><Relationship Id="rId49" Type="http://schemas.openxmlformats.org/officeDocument/2006/relationships/chart" Target="../charts/chart56.xml"/><Relationship Id="rId57" Type="http://schemas.openxmlformats.org/officeDocument/2006/relationships/image" Target="../media/image3.emf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31" Type="http://schemas.openxmlformats.org/officeDocument/2006/relationships/chart" Target="../charts/chart39.xml"/><Relationship Id="rId44" Type="http://schemas.openxmlformats.org/officeDocument/2006/relationships/chart" Target="../charts/chart51.xml"/><Relationship Id="rId52" Type="http://schemas.openxmlformats.org/officeDocument/2006/relationships/chart" Target="../charts/chart59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43" Type="http://schemas.openxmlformats.org/officeDocument/2006/relationships/image" Target="../media/image1.jpeg"/><Relationship Id="rId48" Type="http://schemas.openxmlformats.org/officeDocument/2006/relationships/chart" Target="../charts/chart55.xml"/><Relationship Id="rId56" Type="http://schemas.openxmlformats.org/officeDocument/2006/relationships/image" Target="../media/image2.emf"/><Relationship Id="rId8" Type="http://schemas.openxmlformats.org/officeDocument/2006/relationships/chart" Target="../charts/chart16.xml"/><Relationship Id="rId51" Type="http://schemas.openxmlformats.org/officeDocument/2006/relationships/chart" Target="../charts/chart58.xml"/><Relationship Id="rId3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5.xml"/><Relationship Id="rId18" Type="http://schemas.openxmlformats.org/officeDocument/2006/relationships/chart" Target="../charts/chart80.xml"/><Relationship Id="rId26" Type="http://schemas.openxmlformats.org/officeDocument/2006/relationships/chart" Target="../charts/chart88.xml"/><Relationship Id="rId39" Type="http://schemas.openxmlformats.org/officeDocument/2006/relationships/chart" Target="../charts/chart101.xml"/><Relationship Id="rId21" Type="http://schemas.openxmlformats.org/officeDocument/2006/relationships/chart" Target="../charts/chart83.xml"/><Relationship Id="rId34" Type="http://schemas.openxmlformats.org/officeDocument/2006/relationships/chart" Target="../charts/chart96.xml"/><Relationship Id="rId42" Type="http://schemas.openxmlformats.org/officeDocument/2006/relationships/chart" Target="../charts/chart104.xml"/><Relationship Id="rId47" Type="http://schemas.openxmlformats.org/officeDocument/2006/relationships/chart" Target="../charts/chart108.xml"/><Relationship Id="rId50" Type="http://schemas.openxmlformats.org/officeDocument/2006/relationships/chart" Target="../charts/chart111.xml"/><Relationship Id="rId55" Type="http://schemas.openxmlformats.org/officeDocument/2006/relationships/chart" Target="../charts/chart116.xml"/><Relationship Id="rId7" Type="http://schemas.openxmlformats.org/officeDocument/2006/relationships/chart" Target="../charts/chart69.xml"/><Relationship Id="rId12" Type="http://schemas.openxmlformats.org/officeDocument/2006/relationships/chart" Target="../charts/chart74.xml"/><Relationship Id="rId17" Type="http://schemas.openxmlformats.org/officeDocument/2006/relationships/chart" Target="../charts/chart79.xml"/><Relationship Id="rId25" Type="http://schemas.openxmlformats.org/officeDocument/2006/relationships/chart" Target="../charts/chart87.xml"/><Relationship Id="rId33" Type="http://schemas.openxmlformats.org/officeDocument/2006/relationships/chart" Target="../charts/chart95.xml"/><Relationship Id="rId38" Type="http://schemas.openxmlformats.org/officeDocument/2006/relationships/chart" Target="../charts/chart100.xml"/><Relationship Id="rId46" Type="http://schemas.openxmlformats.org/officeDocument/2006/relationships/chart" Target="../charts/chart107.xml"/><Relationship Id="rId2" Type="http://schemas.openxmlformats.org/officeDocument/2006/relationships/chart" Target="../charts/chart64.xml"/><Relationship Id="rId16" Type="http://schemas.openxmlformats.org/officeDocument/2006/relationships/chart" Target="../charts/chart78.xml"/><Relationship Id="rId20" Type="http://schemas.openxmlformats.org/officeDocument/2006/relationships/chart" Target="../charts/chart82.xml"/><Relationship Id="rId29" Type="http://schemas.openxmlformats.org/officeDocument/2006/relationships/chart" Target="../charts/chart91.xml"/><Relationship Id="rId41" Type="http://schemas.openxmlformats.org/officeDocument/2006/relationships/chart" Target="../charts/chart103.xml"/><Relationship Id="rId54" Type="http://schemas.openxmlformats.org/officeDocument/2006/relationships/chart" Target="../charts/chart115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11" Type="http://schemas.openxmlformats.org/officeDocument/2006/relationships/chart" Target="../charts/chart73.xml"/><Relationship Id="rId24" Type="http://schemas.openxmlformats.org/officeDocument/2006/relationships/chart" Target="../charts/chart86.xml"/><Relationship Id="rId32" Type="http://schemas.openxmlformats.org/officeDocument/2006/relationships/chart" Target="../charts/chart94.xml"/><Relationship Id="rId37" Type="http://schemas.openxmlformats.org/officeDocument/2006/relationships/chart" Target="../charts/chart99.xml"/><Relationship Id="rId40" Type="http://schemas.openxmlformats.org/officeDocument/2006/relationships/chart" Target="../charts/chart102.xml"/><Relationship Id="rId45" Type="http://schemas.openxmlformats.org/officeDocument/2006/relationships/chart" Target="../charts/chart106.xml"/><Relationship Id="rId53" Type="http://schemas.openxmlformats.org/officeDocument/2006/relationships/chart" Target="../charts/chart114.xml"/><Relationship Id="rId5" Type="http://schemas.openxmlformats.org/officeDocument/2006/relationships/chart" Target="../charts/chart67.xml"/><Relationship Id="rId15" Type="http://schemas.openxmlformats.org/officeDocument/2006/relationships/chart" Target="../charts/chart77.xml"/><Relationship Id="rId23" Type="http://schemas.openxmlformats.org/officeDocument/2006/relationships/chart" Target="../charts/chart85.xml"/><Relationship Id="rId28" Type="http://schemas.openxmlformats.org/officeDocument/2006/relationships/chart" Target="../charts/chart90.xml"/><Relationship Id="rId36" Type="http://schemas.openxmlformats.org/officeDocument/2006/relationships/chart" Target="../charts/chart98.xml"/><Relationship Id="rId49" Type="http://schemas.openxmlformats.org/officeDocument/2006/relationships/chart" Target="../charts/chart110.xml"/><Relationship Id="rId57" Type="http://schemas.openxmlformats.org/officeDocument/2006/relationships/image" Target="../media/image5.emf"/><Relationship Id="rId10" Type="http://schemas.openxmlformats.org/officeDocument/2006/relationships/chart" Target="../charts/chart72.xml"/><Relationship Id="rId19" Type="http://schemas.openxmlformats.org/officeDocument/2006/relationships/chart" Target="../charts/chart81.xml"/><Relationship Id="rId31" Type="http://schemas.openxmlformats.org/officeDocument/2006/relationships/chart" Target="../charts/chart93.xml"/><Relationship Id="rId44" Type="http://schemas.openxmlformats.org/officeDocument/2006/relationships/chart" Target="../charts/chart105.xml"/><Relationship Id="rId52" Type="http://schemas.openxmlformats.org/officeDocument/2006/relationships/chart" Target="../charts/chart113.xml"/><Relationship Id="rId4" Type="http://schemas.openxmlformats.org/officeDocument/2006/relationships/chart" Target="../charts/chart66.xml"/><Relationship Id="rId9" Type="http://schemas.openxmlformats.org/officeDocument/2006/relationships/chart" Target="../charts/chart71.xml"/><Relationship Id="rId14" Type="http://schemas.openxmlformats.org/officeDocument/2006/relationships/chart" Target="../charts/chart76.xml"/><Relationship Id="rId22" Type="http://schemas.openxmlformats.org/officeDocument/2006/relationships/chart" Target="../charts/chart84.xml"/><Relationship Id="rId27" Type="http://schemas.openxmlformats.org/officeDocument/2006/relationships/chart" Target="../charts/chart89.xml"/><Relationship Id="rId30" Type="http://schemas.openxmlformats.org/officeDocument/2006/relationships/chart" Target="../charts/chart92.xml"/><Relationship Id="rId35" Type="http://schemas.openxmlformats.org/officeDocument/2006/relationships/chart" Target="../charts/chart97.xml"/><Relationship Id="rId43" Type="http://schemas.openxmlformats.org/officeDocument/2006/relationships/image" Target="../media/image1.jpeg"/><Relationship Id="rId48" Type="http://schemas.openxmlformats.org/officeDocument/2006/relationships/chart" Target="../charts/chart109.xml"/><Relationship Id="rId56" Type="http://schemas.openxmlformats.org/officeDocument/2006/relationships/image" Target="../media/image4.emf"/><Relationship Id="rId8" Type="http://schemas.openxmlformats.org/officeDocument/2006/relationships/chart" Target="../charts/chart70.xml"/><Relationship Id="rId51" Type="http://schemas.openxmlformats.org/officeDocument/2006/relationships/chart" Target="../charts/chart112.xml"/><Relationship Id="rId3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9.xml"/><Relationship Id="rId18" Type="http://schemas.openxmlformats.org/officeDocument/2006/relationships/chart" Target="../charts/chart134.xml"/><Relationship Id="rId26" Type="http://schemas.openxmlformats.org/officeDocument/2006/relationships/chart" Target="../charts/chart142.xml"/><Relationship Id="rId39" Type="http://schemas.openxmlformats.org/officeDocument/2006/relationships/chart" Target="../charts/chart155.xml"/><Relationship Id="rId21" Type="http://schemas.openxmlformats.org/officeDocument/2006/relationships/chart" Target="../charts/chart137.xml"/><Relationship Id="rId34" Type="http://schemas.openxmlformats.org/officeDocument/2006/relationships/chart" Target="../charts/chart150.xml"/><Relationship Id="rId42" Type="http://schemas.openxmlformats.org/officeDocument/2006/relationships/chart" Target="../charts/chart158.xml"/><Relationship Id="rId47" Type="http://schemas.openxmlformats.org/officeDocument/2006/relationships/chart" Target="../charts/chart162.xml"/><Relationship Id="rId50" Type="http://schemas.openxmlformats.org/officeDocument/2006/relationships/chart" Target="../charts/chart165.xml"/><Relationship Id="rId55" Type="http://schemas.openxmlformats.org/officeDocument/2006/relationships/chart" Target="../charts/chart170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17" Type="http://schemas.openxmlformats.org/officeDocument/2006/relationships/chart" Target="../charts/chart133.xml"/><Relationship Id="rId25" Type="http://schemas.openxmlformats.org/officeDocument/2006/relationships/chart" Target="../charts/chart141.xml"/><Relationship Id="rId33" Type="http://schemas.openxmlformats.org/officeDocument/2006/relationships/chart" Target="../charts/chart149.xml"/><Relationship Id="rId38" Type="http://schemas.openxmlformats.org/officeDocument/2006/relationships/chart" Target="../charts/chart154.xml"/><Relationship Id="rId46" Type="http://schemas.openxmlformats.org/officeDocument/2006/relationships/chart" Target="../charts/chart161.xml"/><Relationship Id="rId2" Type="http://schemas.openxmlformats.org/officeDocument/2006/relationships/chart" Target="../charts/chart118.xml"/><Relationship Id="rId16" Type="http://schemas.openxmlformats.org/officeDocument/2006/relationships/chart" Target="../charts/chart132.xml"/><Relationship Id="rId20" Type="http://schemas.openxmlformats.org/officeDocument/2006/relationships/chart" Target="../charts/chart136.xml"/><Relationship Id="rId29" Type="http://schemas.openxmlformats.org/officeDocument/2006/relationships/chart" Target="../charts/chart145.xml"/><Relationship Id="rId41" Type="http://schemas.openxmlformats.org/officeDocument/2006/relationships/chart" Target="../charts/chart157.xml"/><Relationship Id="rId54" Type="http://schemas.openxmlformats.org/officeDocument/2006/relationships/chart" Target="../charts/chart169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24" Type="http://schemas.openxmlformats.org/officeDocument/2006/relationships/chart" Target="../charts/chart140.xml"/><Relationship Id="rId32" Type="http://schemas.openxmlformats.org/officeDocument/2006/relationships/chart" Target="../charts/chart148.xml"/><Relationship Id="rId37" Type="http://schemas.openxmlformats.org/officeDocument/2006/relationships/chart" Target="../charts/chart153.xml"/><Relationship Id="rId40" Type="http://schemas.openxmlformats.org/officeDocument/2006/relationships/chart" Target="../charts/chart156.xml"/><Relationship Id="rId45" Type="http://schemas.openxmlformats.org/officeDocument/2006/relationships/chart" Target="../charts/chart160.xml"/><Relationship Id="rId53" Type="http://schemas.openxmlformats.org/officeDocument/2006/relationships/chart" Target="../charts/chart168.xml"/><Relationship Id="rId5" Type="http://schemas.openxmlformats.org/officeDocument/2006/relationships/chart" Target="../charts/chart121.xml"/><Relationship Id="rId15" Type="http://schemas.openxmlformats.org/officeDocument/2006/relationships/chart" Target="../charts/chart131.xml"/><Relationship Id="rId23" Type="http://schemas.openxmlformats.org/officeDocument/2006/relationships/chart" Target="../charts/chart139.xml"/><Relationship Id="rId28" Type="http://schemas.openxmlformats.org/officeDocument/2006/relationships/chart" Target="../charts/chart144.xml"/><Relationship Id="rId36" Type="http://schemas.openxmlformats.org/officeDocument/2006/relationships/chart" Target="../charts/chart152.xml"/><Relationship Id="rId49" Type="http://schemas.openxmlformats.org/officeDocument/2006/relationships/chart" Target="../charts/chart164.xml"/><Relationship Id="rId10" Type="http://schemas.openxmlformats.org/officeDocument/2006/relationships/chart" Target="../charts/chart126.xml"/><Relationship Id="rId19" Type="http://schemas.openxmlformats.org/officeDocument/2006/relationships/chart" Target="../charts/chart135.xml"/><Relationship Id="rId31" Type="http://schemas.openxmlformats.org/officeDocument/2006/relationships/chart" Target="../charts/chart147.xml"/><Relationship Id="rId44" Type="http://schemas.openxmlformats.org/officeDocument/2006/relationships/chart" Target="../charts/chart159.xml"/><Relationship Id="rId52" Type="http://schemas.openxmlformats.org/officeDocument/2006/relationships/chart" Target="../charts/chart167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Relationship Id="rId14" Type="http://schemas.openxmlformats.org/officeDocument/2006/relationships/chart" Target="../charts/chart130.xml"/><Relationship Id="rId22" Type="http://schemas.openxmlformats.org/officeDocument/2006/relationships/chart" Target="../charts/chart138.xml"/><Relationship Id="rId27" Type="http://schemas.openxmlformats.org/officeDocument/2006/relationships/chart" Target="../charts/chart143.xml"/><Relationship Id="rId30" Type="http://schemas.openxmlformats.org/officeDocument/2006/relationships/chart" Target="../charts/chart146.xml"/><Relationship Id="rId35" Type="http://schemas.openxmlformats.org/officeDocument/2006/relationships/chart" Target="../charts/chart151.xml"/><Relationship Id="rId43" Type="http://schemas.openxmlformats.org/officeDocument/2006/relationships/image" Target="../media/image1.jpeg"/><Relationship Id="rId48" Type="http://schemas.openxmlformats.org/officeDocument/2006/relationships/chart" Target="../charts/chart163.xml"/><Relationship Id="rId56" Type="http://schemas.openxmlformats.org/officeDocument/2006/relationships/image" Target="../media/image6.emf"/><Relationship Id="rId8" Type="http://schemas.openxmlformats.org/officeDocument/2006/relationships/chart" Target="../charts/chart124.xml"/><Relationship Id="rId51" Type="http://schemas.openxmlformats.org/officeDocument/2006/relationships/chart" Target="../charts/chart166.xml"/><Relationship Id="rId3" Type="http://schemas.openxmlformats.org/officeDocument/2006/relationships/chart" Target="../charts/chart119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3.xml"/><Relationship Id="rId18" Type="http://schemas.openxmlformats.org/officeDocument/2006/relationships/chart" Target="../charts/chart188.xml"/><Relationship Id="rId26" Type="http://schemas.openxmlformats.org/officeDocument/2006/relationships/chart" Target="../charts/chart196.xml"/><Relationship Id="rId39" Type="http://schemas.openxmlformats.org/officeDocument/2006/relationships/chart" Target="../charts/chart209.xml"/><Relationship Id="rId21" Type="http://schemas.openxmlformats.org/officeDocument/2006/relationships/chart" Target="../charts/chart191.xml"/><Relationship Id="rId34" Type="http://schemas.openxmlformats.org/officeDocument/2006/relationships/chart" Target="../charts/chart204.xml"/><Relationship Id="rId42" Type="http://schemas.openxmlformats.org/officeDocument/2006/relationships/chart" Target="../charts/chart212.xml"/><Relationship Id="rId47" Type="http://schemas.openxmlformats.org/officeDocument/2006/relationships/chart" Target="../charts/chart216.xml"/><Relationship Id="rId50" Type="http://schemas.openxmlformats.org/officeDocument/2006/relationships/chart" Target="../charts/chart219.xml"/><Relationship Id="rId55" Type="http://schemas.openxmlformats.org/officeDocument/2006/relationships/chart" Target="../charts/chart224.xml"/><Relationship Id="rId7" Type="http://schemas.openxmlformats.org/officeDocument/2006/relationships/chart" Target="../charts/chart177.xml"/><Relationship Id="rId12" Type="http://schemas.openxmlformats.org/officeDocument/2006/relationships/chart" Target="../charts/chart182.xml"/><Relationship Id="rId17" Type="http://schemas.openxmlformats.org/officeDocument/2006/relationships/chart" Target="../charts/chart187.xml"/><Relationship Id="rId25" Type="http://schemas.openxmlformats.org/officeDocument/2006/relationships/chart" Target="../charts/chart195.xml"/><Relationship Id="rId33" Type="http://schemas.openxmlformats.org/officeDocument/2006/relationships/chart" Target="../charts/chart203.xml"/><Relationship Id="rId38" Type="http://schemas.openxmlformats.org/officeDocument/2006/relationships/chart" Target="../charts/chart208.xml"/><Relationship Id="rId46" Type="http://schemas.openxmlformats.org/officeDocument/2006/relationships/chart" Target="../charts/chart215.xml"/><Relationship Id="rId2" Type="http://schemas.openxmlformats.org/officeDocument/2006/relationships/chart" Target="../charts/chart172.xml"/><Relationship Id="rId16" Type="http://schemas.openxmlformats.org/officeDocument/2006/relationships/chart" Target="../charts/chart186.xml"/><Relationship Id="rId20" Type="http://schemas.openxmlformats.org/officeDocument/2006/relationships/chart" Target="../charts/chart190.xml"/><Relationship Id="rId29" Type="http://schemas.openxmlformats.org/officeDocument/2006/relationships/chart" Target="../charts/chart199.xml"/><Relationship Id="rId41" Type="http://schemas.openxmlformats.org/officeDocument/2006/relationships/chart" Target="../charts/chart211.xml"/><Relationship Id="rId54" Type="http://schemas.openxmlformats.org/officeDocument/2006/relationships/chart" Target="../charts/chart223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11" Type="http://schemas.openxmlformats.org/officeDocument/2006/relationships/chart" Target="../charts/chart181.xml"/><Relationship Id="rId24" Type="http://schemas.openxmlformats.org/officeDocument/2006/relationships/chart" Target="../charts/chart194.xml"/><Relationship Id="rId32" Type="http://schemas.openxmlformats.org/officeDocument/2006/relationships/chart" Target="../charts/chart202.xml"/><Relationship Id="rId37" Type="http://schemas.openxmlformats.org/officeDocument/2006/relationships/chart" Target="../charts/chart207.xml"/><Relationship Id="rId40" Type="http://schemas.openxmlformats.org/officeDocument/2006/relationships/chart" Target="../charts/chart210.xml"/><Relationship Id="rId45" Type="http://schemas.openxmlformats.org/officeDocument/2006/relationships/chart" Target="../charts/chart214.xml"/><Relationship Id="rId53" Type="http://schemas.openxmlformats.org/officeDocument/2006/relationships/chart" Target="../charts/chart222.xml"/><Relationship Id="rId5" Type="http://schemas.openxmlformats.org/officeDocument/2006/relationships/chart" Target="../charts/chart175.xml"/><Relationship Id="rId15" Type="http://schemas.openxmlformats.org/officeDocument/2006/relationships/chart" Target="../charts/chart185.xml"/><Relationship Id="rId23" Type="http://schemas.openxmlformats.org/officeDocument/2006/relationships/chart" Target="../charts/chart193.xml"/><Relationship Id="rId28" Type="http://schemas.openxmlformats.org/officeDocument/2006/relationships/chart" Target="../charts/chart198.xml"/><Relationship Id="rId36" Type="http://schemas.openxmlformats.org/officeDocument/2006/relationships/chart" Target="../charts/chart206.xml"/><Relationship Id="rId49" Type="http://schemas.openxmlformats.org/officeDocument/2006/relationships/chart" Target="../charts/chart218.xml"/><Relationship Id="rId10" Type="http://schemas.openxmlformats.org/officeDocument/2006/relationships/chart" Target="../charts/chart180.xml"/><Relationship Id="rId19" Type="http://schemas.openxmlformats.org/officeDocument/2006/relationships/chart" Target="../charts/chart189.xml"/><Relationship Id="rId31" Type="http://schemas.openxmlformats.org/officeDocument/2006/relationships/chart" Target="../charts/chart201.xml"/><Relationship Id="rId44" Type="http://schemas.openxmlformats.org/officeDocument/2006/relationships/chart" Target="../charts/chart213.xml"/><Relationship Id="rId52" Type="http://schemas.openxmlformats.org/officeDocument/2006/relationships/chart" Target="../charts/chart221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Relationship Id="rId14" Type="http://schemas.openxmlformats.org/officeDocument/2006/relationships/chart" Target="../charts/chart184.xml"/><Relationship Id="rId22" Type="http://schemas.openxmlformats.org/officeDocument/2006/relationships/chart" Target="../charts/chart192.xml"/><Relationship Id="rId27" Type="http://schemas.openxmlformats.org/officeDocument/2006/relationships/chart" Target="../charts/chart197.xml"/><Relationship Id="rId30" Type="http://schemas.openxmlformats.org/officeDocument/2006/relationships/chart" Target="../charts/chart200.xml"/><Relationship Id="rId35" Type="http://schemas.openxmlformats.org/officeDocument/2006/relationships/chart" Target="../charts/chart205.xml"/><Relationship Id="rId43" Type="http://schemas.openxmlformats.org/officeDocument/2006/relationships/image" Target="../media/image1.jpeg"/><Relationship Id="rId48" Type="http://schemas.openxmlformats.org/officeDocument/2006/relationships/chart" Target="../charts/chart217.xml"/><Relationship Id="rId8" Type="http://schemas.openxmlformats.org/officeDocument/2006/relationships/chart" Target="../charts/chart178.xml"/><Relationship Id="rId51" Type="http://schemas.openxmlformats.org/officeDocument/2006/relationships/chart" Target="../charts/chart220.xml"/><Relationship Id="rId3" Type="http://schemas.openxmlformats.org/officeDocument/2006/relationships/chart" Target="../charts/chart173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9" Type="http://schemas.openxmlformats.org/officeDocument/2006/relationships/chart" Target="../charts/chart263.xml"/><Relationship Id="rId21" Type="http://schemas.openxmlformats.org/officeDocument/2006/relationships/chart" Target="../charts/chart245.xml"/><Relationship Id="rId34" Type="http://schemas.openxmlformats.org/officeDocument/2006/relationships/chart" Target="../charts/chart258.xml"/><Relationship Id="rId42" Type="http://schemas.openxmlformats.org/officeDocument/2006/relationships/chart" Target="../charts/chart266.xml"/><Relationship Id="rId47" Type="http://schemas.openxmlformats.org/officeDocument/2006/relationships/chart" Target="../charts/chart270.xml"/><Relationship Id="rId50" Type="http://schemas.openxmlformats.org/officeDocument/2006/relationships/chart" Target="../charts/chart273.xml"/><Relationship Id="rId55" Type="http://schemas.openxmlformats.org/officeDocument/2006/relationships/chart" Target="../charts/chart278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33" Type="http://schemas.openxmlformats.org/officeDocument/2006/relationships/chart" Target="../charts/chart257.xml"/><Relationship Id="rId38" Type="http://schemas.openxmlformats.org/officeDocument/2006/relationships/chart" Target="../charts/chart262.xml"/><Relationship Id="rId46" Type="http://schemas.openxmlformats.org/officeDocument/2006/relationships/chart" Target="../charts/chart26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29" Type="http://schemas.openxmlformats.org/officeDocument/2006/relationships/chart" Target="../charts/chart253.xml"/><Relationship Id="rId41" Type="http://schemas.openxmlformats.org/officeDocument/2006/relationships/chart" Target="../charts/chart265.xml"/><Relationship Id="rId54" Type="http://schemas.openxmlformats.org/officeDocument/2006/relationships/chart" Target="../charts/chart277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32" Type="http://schemas.openxmlformats.org/officeDocument/2006/relationships/chart" Target="../charts/chart256.xml"/><Relationship Id="rId37" Type="http://schemas.openxmlformats.org/officeDocument/2006/relationships/chart" Target="../charts/chart261.xml"/><Relationship Id="rId40" Type="http://schemas.openxmlformats.org/officeDocument/2006/relationships/chart" Target="../charts/chart264.xml"/><Relationship Id="rId45" Type="http://schemas.openxmlformats.org/officeDocument/2006/relationships/chart" Target="../charts/chart268.xml"/><Relationship Id="rId53" Type="http://schemas.openxmlformats.org/officeDocument/2006/relationships/chart" Target="../charts/chart276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36" Type="http://schemas.openxmlformats.org/officeDocument/2006/relationships/chart" Target="../charts/chart260.xml"/><Relationship Id="rId49" Type="http://schemas.openxmlformats.org/officeDocument/2006/relationships/chart" Target="../charts/chart27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31" Type="http://schemas.openxmlformats.org/officeDocument/2006/relationships/chart" Target="../charts/chart255.xml"/><Relationship Id="rId44" Type="http://schemas.openxmlformats.org/officeDocument/2006/relationships/chart" Target="../charts/chart267.xml"/><Relationship Id="rId52" Type="http://schemas.openxmlformats.org/officeDocument/2006/relationships/chart" Target="../charts/chart275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Relationship Id="rId30" Type="http://schemas.openxmlformats.org/officeDocument/2006/relationships/chart" Target="../charts/chart254.xml"/><Relationship Id="rId35" Type="http://schemas.openxmlformats.org/officeDocument/2006/relationships/chart" Target="../charts/chart259.xml"/><Relationship Id="rId43" Type="http://schemas.openxmlformats.org/officeDocument/2006/relationships/image" Target="../media/image1.jpeg"/><Relationship Id="rId48" Type="http://schemas.openxmlformats.org/officeDocument/2006/relationships/chart" Target="../charts/chart271.xml"/><Relationship Id="rId8" Type="http://schemas.openxmlformats.org/officeDocument/2006/relationships/chart" Target="../charts/chart232.xml"/><Relationship Id="rId51" Type="http://schemas.openxmlformats.org/officeDocument/2006/relationships/chart" Target="../charts/chart274.xml"/><Relationship Id="rId3" Type="http://schemas.openxmlformats.org/officeDocument/2006/relationships/chart" Target="../charts/chart2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1638302</xdr:colOff>
      <xdr:row>2</xdr:row>
      <xdr:rowOff>38101</xdr:rowOff>
    </xdr:from>
    <xdr:to>
      <xdr:col>17</xdr:col>
      <xdr:colOff>10956</xdr:colOff>
      <xdr:row>5</xdr:row>
      <xdr:rowOff>173832</xdr:rowOff>
    </xdr:to>
    <xdr:pic>
      <xdr:nvPicPr>
        <xdr:cNvPr id="3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50052" y="431007"/>
          <a:ext cx="789622" cy="70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62921</xdr:colOff>
      <xdr:row>1</xdr:row>
      <xdr:rowOff>164286</xdr:rowOff>
    </xdr:from>
    <xdr:to>
      <xdr:col>9</xdr:col>
      <xdr:colOff>1021226</xdr:colOff>
      <xdr:row>20</xdr:row>
      <xdr:rowOff>122390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65012</xdr:colOff>
      <xdr:row>1</xdr:row>
      <xdr:rowOff>155251</xdr:rowOff>
    </xdr:from>
    <xdr:to>
      <xdr:col>12</xdr:col>
      <xdr:colOff>1023317</xdr:colOff>
      <xdr:row>20</xdr:row>
      <xdr:rowOff>113355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55155</xdr:colOff>
      <xdr:row>1</xdr:row>
      <xdr:rowOff>155251</xdr:rowOff>
    </xdr:from>
    <xdr:to>
      <xdr:col>15</xdr:col>
      <xdr:colOff>1013460</xdr:colOff>
      <xdr:row>20</xdr:row>
      <xdr:rowOff>113355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7620</xdr:colOff>
      <xdr:row>1</xdr:row>
      <xdr:rowOff>155251</xdr:rowOff>
    </xdr:from>
    <xdr:to>
      <xdr:col>18</xdr:col>
      <xdr:colOff>995755</xdr:colOff>
      <xdr:row>20</xdr:row>
      <xdr:rowOff>114771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50918</xdr:colOff>
      <xdr:row>1</xdr:row>
      <xdr:rowOff>155251</xdr:rowOff>
    </xdr:from>
    <xdr:to>
      <xdr:col>21</xdr:col>
      <xdr:colOff>1039053</xdr:colOff>
      <xdr:row>20</xdr:row>
      <xdr:rowOff>114771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55805</xdr:colOff>
      <xdr:row>1</xdr:row>
      <xdr:rowOff>155251</xdr:rowOff>
    </xdr:from>
    <xdr:to>
      <xdr:col>24</xdr:col>
      <xdr:colOff>1043940</xdr:colOff>
      <xdr:row>20</xdr:row>
      <xdr:rowOff>114771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60960</xdr:colOff>
      <xdr:row>2</xdr:row>
      <xdr:rowOff>62865</xdr:rowOff>
    </xdr:from>
    <xdr:to>
      <xdr:col>6</xdr:col>
      <xdr:colOff>883920</xdr:colOff>
      <xdr:row>6</xdr:row>
      <xdr:rowOff>112871</xdr:rowOff>
    </xdr:to>
    <xdr:pic>
      <xdr:nvPicPr>
        <xdr:cNvPr id="8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38900" y="443865"/>
          <a:ext cx="822960" cy="720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4790070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478986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888100</xdr:colOff>
      <xdr:row>77</xdr:row>
      <xdr:rowOff>161574</xdr:rowOff>
    </xdr:to>
    <xdr:pic>
      <xdr:nvPicPr>
        <xdr:cNvPr id="478986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09855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</xdr:row>
      <xdr:rowOff>22860</xdr:rowOff>
    </xdr:from>
    <xdr:to>
      <xdr:col>0</xdr:col>
      <xdr:colOff>1318260</xdr:colOff>
      <xdr:row>6</xdr:row>
      <xdr:rowOff>24765</xdr:rowOff>
    </xdr:to>
    <xdr:pic>
      <xdr:nvPicPr>
        <xdr:cNvPr id="2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403860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514350</xdr:colOff>
      <xdr:row>19</xdr:row>
      <xdr:rowOff>9035</xdr:rowOff>
    </xdr:from>
    <xdr:to>
      <xdr:col>5</xdr:col>
      <xdr:colOff>663030</xdr:colOff>
      <xdr:row>35</xdr:row>
      <xdr:rowOff>98107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130678</xdr:colOff>
      <xdr:row>19</xdr:row>
      <xdr:rowOff>28575</xdr:rowOff>
    </xdr:from>
    <xdr:to>
      <xdr:col>10</xdr:col>
      <xdr:colOff>279358</xdr:colOff>
      <xdr:row>35</xdr:row>
      <xdr:rowOff>117647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62921</xdr:colOff>
      <xdr:row>1</xdr:row>
      <xdr:rowOff>164286</xdr:rowOff>
    </xdr:from>
    <xdr:to>
      <xdr:col>9</xdr:col>
      <xdr:colOff>1021226</xdr:colOff>
      <xdr:row>20</xdr:row>
      <xdr:rowOff>122390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65012</xdr:colOff>
      <xdr:row>1</xdr:row>
      <xdr:rowOff>155251</xdr:rowOff>
    </xdr:from>
    <xdr:to>
      <xdr:col>12</xdr:col>
      <xdr:colOff>1023317</xdr:colOff>
      <xdr:row>20</xdr:row>
      <xdr:rowOff>113355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55155</xdr:colOff>
      <xdr:row>1</xdr:row>
      <xdr:rowOff>155251</xdr:rowOff>
    </xdr:from>
    <xdr:to>
      <xdr:col>15</xdr:col>
      <xdr:colOff>1013460</xdr:colOff>
      <xdr:row>20</xdr:row>
      <xdr:rowOff>113355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7620</xdr:colOff>
      <xdr:row>1</xdr:row>
      <xdr:rowOff>155251</xdr:rowOff>
    </xdr:from>
    <xdr:to>
      <xdr:col>18</xdr:col>
      <xdr:colOff>995755</xdr:colOff>
      <xdr:row>20</xdr:row>
      <xdr:rowOff>114771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50918</xdr:colOff>
      <xdr:row>1</xdr:row>
      <xdr:rowOff>155251</xdr:rowOff>
    </xdr:from>
    <xdr:to>
      <xdr:col>21</xdr:col>
      <xdr:colOff>1039053</xdr:colOff>
      <xdr:row>20</xdr:row>
      <xdr:rowOff>114771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55805</xdr:colOff>
      <xdr:row>1</xdr:row>
      <xdr:rowOff>155251</xdr:rowOff>
    </xdr:from>
    <xdr:to>
      <xdr:col>24</xdr:col>
      <xdr:colOff>1043940</xdr:colOff>
      <xdr:row>20</xdr:row>
      <xdr:rowOff>114771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60960</xdr:colOff>
      <xdr:row>2</xdr:row>
      <xdr:rowOff>62865</xdr:rowOff>
    </xdr:from>
    <xdr:to>
      <xdr:col>6</xdr:col>
      <xdr:colOff>883920</xdr:colOff>
      <xdr:row>6</xdr:row>
      <xdr:rowOff>112871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33185" y="443865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1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116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1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118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119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120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129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130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31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3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33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4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87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88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89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90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91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92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1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102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10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10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105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106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5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5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6425949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6425949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6425949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6425949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6425949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6425949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64259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642595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642595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642595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6425954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6425954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6425942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433185" y="624840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16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16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16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16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16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16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16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17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17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17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17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17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6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888100</xdr:colOff>
      <xdr:row>77</xdr:row>
      <xdr:rowOff>161574</xdr:rowOff>
    </xdr:to>
    <xdr:pic>
      <xdr:nvPicPr>
        <xdr:cNvPr id="6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09855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888100</xdr:colOff>
      <xdr:row>77</xdr:row>
      <xdr:rowOff>161574</xdr:rowOff>
    </xdr:to>
    <xdr:pic>
      <xdr:nvPicPr>
        <xdr:cNvPr id="6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09855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iPNet10.04_IntactCellsP2-02.DLD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iPNet10.04_IntactCells.DLD" TargetMode="External"/><Relationship Id="rId7" Type="http://schemas.openxmlformats.org/officeDocument/2006/relationships/hyperlink" Target="MiPNet10.04_IntactCellsP2-02.DLD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bioblast.at/index.php/Mark_names_in_DatLab" TargetMode="External"/><Relationship Id="rId1" Type="http://schemas.openxmlformats.org/officeDocument/2006/relationships/hyperlink" Target="http://wiki.oroboros.at/index.php/MitoPedia:_DatLab" TargetMode="External"/><Relationship Id="rId6" Type="http://schemas.openxmlformats.org/officeDocument/2006/relationships/hyperlink" Target="MiPNet10.04_IntactCellsP2.DLD" TargetMode="External"/><Relationship Id="rId11" Type="http://schemas.openxmlformats.org/officeDocument/2006/relationships/hyperlink" Target="http://wiki.oroboros.at/index.php/MiPNet19.18E_O2_Flux_Analysis" TargetMode="External"/><Relationship Id="rId5" Type="http://schemas.openxmlformats.org/officeDocument/2006/relationships/hyperlink" Target="MiPNet10.04_IntactCellsP2.DLD" TargetMode="External"/><Relationship Id="rId10" Type="http://schemas.openxmlformats.org/officeDocument/2006/relationships/hyperlink" Target="MiPNet10.04_IntactCellsP4.DLD" TargetMode="External"/><Relationship Id="rId4" Type="http://schemas.openxmlformats.org/officeDocument/2006/relationships/hyperlink" Target="MiPNet10.04_IntactCells.DLD" TargetMode="External"/><Relationship Id="rId9" Type="http://schemas.openxmlformats.org/officeDocument/2006/relationships/hyperlink" Target="MiPNet10.04_IntactCellsP4.DLD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7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iki.oroboros.at/index.php/MitoPedia:_DatLab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comments" Target="../comments8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2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9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10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11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12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13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7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14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iki.oroboros.at/index.php/Background_correction" TargetMode="External"/><Relationship Id="rId2" Type="http://schemas.openxmlformats.org/officeDocument/2006/relationships/hyperlink" Target="http://wiki.oroboros.at/index.php/Oxygraph-2k" TargetMode="External"/><Relationship Id="rId1" Type="http://schemas.openxmlformats.org/officeDocument/2006/relationships/hyperlink" Target="http://wiki.oroboros.at/index.php/MitoPedia:_DatLab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iki.oroboros.at/index.php/MitoPedia:_DatLab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2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3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4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5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6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Q125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5" sqref="A5"/>
      <selection pane="bottomRight" activeCell="A10" sqref="A10"/>
    </sheetView>
  </sheetViews>
  <sheetFormatPr baseColWidth="10" defaultColWidth="11.5546875" defaultRowHeight="14.4"/>
  <cols>
    <col min="1" max="1" width="30.6640625" style="80" customWidth="1"/>
    <col min="2" max="2" width="21" bestFit="1" customWidth="1"/>
    <col min="3" max="4" width="8.6640625" customWidth="1"/>
    <col min="5" max="5" width="20.109375" style="91" bestFit="1" customWidth="1"/>
    <col min="6" max="6" width="31.33203125" bestFit="1" customWidth="1"/>
    <col min="7" max="7" width="10.6640625" style="93" customWidth="1"/>
    <col min="8" max="8" width="24.6640625" style="132" customWidth="1"/>
    <col min="9" max="9" width="30.6640625" style="80" customWidth="1"/>
    <col min="10" max="10" width="21" bestFit="1" customWidth="1"/>
    <col min="11" max="12" width="8.6640625" customWidth="1"/>
    <col min="13" max="13" width="20.109375" style="91" bestFit="1" customWidth="1"/>
    <col min="14" max="14" width="31.33203125" bestFit="1" customWidth="1"/>
    <col min="15" max="15" width="10.6640625" style="93" customWidth="1"/>
    <col min="16" max="16" width="24.6640625" style="132" customWidth="1"/>
    <col min="17" max="16384" width="11.5546875" style="20"/>
  </cols>
  <sheetData>
    <row r="1" spans="1:17" ht="15.6">
      <c r="A1" s="329" t="s">
        <v>91</v>
      </c>
      <c r="B1" s="461" t="s">
        <v>117</v>
      </c>
      <c r="C1" s="462" t="s">
        <v>163</v>
      </c>
      <c r="D1" s="92" t="s">
        <v>60</v>
      </c>
      <c r="E1" s="92" t="s">
        <v>115</v>
      </c>
      <c r="F1" s="92" t="s">
        <v>61</v>
      </c>
      <c r="G1" s="93" t="s">
        <v>56</v>
      </c>
      <c r="H1" s="93" t="s">
        <v>123</v>
      </c>
      <c r="I1" s="329" t="s">
        <v>91</v>
      </c>
      <c r="J1" s="461" t="s">
        <v>216</v>
      </c>
      <c r="K1" s="462" t="s">
        <v>163</v>
      </c>
      <c r="L1" s="92" t="s">
        <v>60</v>
      </c>
      <c r="M1" s="92" t="s">
        <v>115</v>
      </c>
      <c r="N1" s="92" t="s">
        <v>61</v>
      </c>
      <c r="O1" s="93" t="s">
        <v>56</v>
      </c>
      <c r="P1" s="93" t="s">
        <v>123</v>
      </c>
      <c r="Q1" s="434" t="s">
        <v>208</v>
      </c>
    </row>
    <row r="2" spans="1:17">
      <c r="A2" s="431" t="s">
        <v>272</v>
      </c>
      <c r="B2" s="94" t="s">
        <v>95</v>
      </c>
      <c r="C2" s="94"/>
      <c r="D2" s="411" t="s">
        <v>63</v>
      </c>
      <c r="E2" s="411" t="s">
        <v>62</v>
      </c>
      <c r="F2" s="411" t="s">
        <v>27</v>
      </c>
      <c r="G2" s="95" t="s">
        <v>57</v>
      </c>
      <c r="H2" s="413"/>
      <c r="I2" s="330"/>
      <c r="J2" s="94" t="s">
        <v>95</v>
      </c>
      <c r="K2" s="94"/>
      <c r="L2" s="411" t="s">
        <v>63</v>
      </c>
      <c r="M2" s="411" t="s">
        <v>62</v>
      </c>
      <c r="N2" s="411" t="s">
        <v>27</v>
      </c>
      <c r="O2" s="95" t="s">
        <v>57</v>
      </c>
      <c r="P2" s="413"/>
      <c r="Q2" s="434" t="s">
        <v>15</v>
      </c>
    </row>
    <row r="3" spans="1:17">
      <c r="A3" s="433" t="str">
        <f>'#1-32D'!B2</f>
        <v>CCP</v>
      </c>
      <c r="B3" s="461" t="s">
        <v>228</v>
      </c>
      <c r="C3" s="97" t="s">
        <v>72</v>
      </c>
      <c r="D3" s="92"/>
      <c r="E3" s="527">
        <f>'#1-32D'!E4</f>
        <v>1.01</v>
      </c>
      <c r="F3" s="528" t="s">
        <v>268</v>
      </c>
      <c r="G3" s="406" t="s">
        <v>244</v>
      </c>
      <c r="H3" s="412"/>
      <c r="I3" s="433" t="str">
        <f>'#1-439'!B2</f>
        <v>CCP</v>
      </c>
      <c r="J3" s="461" t="s">
        <v>215</v>
      </c>
      <c r="K3" s="97" t="s">
        <v>72</v>
      </c>
      <c r="L3" s="92"/>
      <c r="M3" s="527">
        <f>'#1-439'!E4</f>
        <v>1.01</v>
      </c>
      <c r="N3" s="528" t="s">
        <v>270</v>
      </c>
      <c r="O3" s="406" t="s">
        <v>245</v>
      </c>
      <c r="P3" s="412"/>
    </row>
    <row r="4" spans="1:17">
      <c r="B4" s="80"/>
      <c r="C4" s="97" t="s">
        <v>73</v>
      </c>
      <c r="D4" s="80"/>
      <c r="E4" s="527">
        <f>'#1-32D'!E5</f>
        <v>1.02</v>
      </c>
      <c r="F4" s="528" t="s">
        <v>268</v>
      </c>
      <c r="G4" s="406" t="s">
        <v>245</v>
      </c>
      <c r="H4" s="412"/>
      <c r="J4" s="80"/>
      <c r="K4" s="97" t="s">
        <v>73</v>
      </c>
      <c r="L4" s="80"/>
      <c r="M4" s="529"/>
      <c r="N4" s="530"/>
      <c r="O4" s="531"/>
      <c r="P4" s="412"/>
    </row>
    <row r="5" spans="1:17">
      <c r="B5" s="80"/>
      <c r="C5" s="97" t="s">
        <v>74</v>
      </c>
      <c r="D5" s="80"/>
      <c r="E5" s="409"/>
      <c r="F5" s="409"/>
      <c r="G5" s="409"/>
      <c r="H5" s="412"/>
      <c r="J5" s="80"/>
      <c r="K5" s="97" t="s">
        <v>74</v>
      </c>
      <c r="L5" s="80"/>
      <c r="M5" s="529"/>
      <c r="N5" s="530"/>
      <c r="O5" s="531"/>
      <c r="P5" s="412"/>
    </row>
    <row r="6" spans="1:17">
      <c r="B6" s="80"/>
      <c r="C6" s="97" t="s">
        <v>75</v>
      </c>
      <c r="D6" s="80"/>
      <c r="E6" s="409"/>
      <c r="F6" s="409"/>
      <c r="G6" s="409"/>
      <c r="H6" s="412"/>
      <c r="J6" s="80"/>
      <c r="K6" s="97" t="s">
        <v>75</v>
      </c>
      <c r="L6" s="80"/>
      <c r="M6" s="409"/>
      <c r="N6" s="407"/>
      <c r="O6" s="406"/>
      <c r="P6" s="412"/>
    </row>
    <row r="7" spans="1:17">
      <c r="B7" s="80"/>
      <c r="C7" s="97" t="s">
        <v>76</v>
      </c>
      <c r="D7" s="80"/>
      <c r="E7" s="409"/>
      <c r="F7" s="409"/>
      <c r="G7" s="409"/>
      <c r="H7" s="412"/>
      <c r="J7" s="80"/>
      <c r="K7" s="97" t="s">
        <v>76</v>
      </c>
      <c r="L7" s="80"/>
      <c r="M7" s="409"/>
      <c r="N7" s="406"/>
      <c r="O7" s="406"/>
      <c r="P7" s="412"/>
    </row>
    <row r="8" spans="1:17">
      <c r="B8" s="80"/>
      <c r="C8" s="405" t="s">
        <v>96</v>
      </c>
      <c r="D8" s="80"/>
      <c r="E8" s="409"/>
      <c r="F8" s="409"/>
      <c r="G8" s="409"/>
      <c r="H8" s="412"/>
      <c r="J8" s="80"/>
      <c r="K8" s="405" t="s">
        <v>96</v>
      </c>
      <c r="L8" s="80"/>
      <c r="M8" s="408"/>
      <c r="N8" s="406"/>
      <c r="O8" s="406"/>
      <c r="P8" s="412"/>
    </row>
    <row r="9" spans="1:17">
      <c r="B9" s="80"/>
      <c r="C9" s="405" t="s">
        <v>97</v>
      </c>
      <c r="D9" s="80"/>
      <c r="E9" s="408"/>
      <c r="F9" s="406"/>
      <c r="G9" s="406"/>
      <c r="H9" s="412"/>
      <c r="J9" s="80"/>
      <c r="K9" s="405" t="s">
        <v>97</v>
      </c>
      <c r="L9" s="80"/>
      <c r="M9" s="408"/>
      <c r="N9" s="406"/>
      <c r="O9" s="406"/>
      <c r="P9" s="412"/>
    </row>
    <row r="10" spans="1:17">
      <c r="B10" s="80"/>
      <c r="C10" s="405" t="s">
        <v>98</v>
      </c>
      <c r="D10" s="80"/>
      <c r="E10" s="409"/>
      <c r="F10" s="406"/>
      <c r="G10" s="406"/>
      <c r="H10" s="412"/>
      <c r="J10" s="80"/>
      <c r="K10" s="405" t="s">
        <v>98</v>
      </c>
      <c r="L10" s="80"/>
      <c r="M10" s="409"/>
      <c r="N10" s="406"/>
      <c r="O10" s="406"/>
      <c r="P10" s="412"/>
    </row>
    <row r="11" spans="1:17">
      <c r="B11" s="80"/>
      <c r="C11" s="80"/>
      <c r="D11" s="80"/>
      <c r="G11" s="414"/>
      <c r="H11" s="412"/>
      <c r="J11" s="80"/>
      <c r="K11" s="80"/>
      <c r="L11" s="80"/>
      <c r="O11" s="414"/>
      <c r="P11" s="412"/>
    </row>
    <row r="12" spans="1:17">
      <c r="A12" s="433" t="str">
        <f>'#2-32D'!B2</f>
        <v>CCP</v>
      </c>
      <c r="B12" s="461" t="s">
        <v>229</v>
      </c>
      <c r="C12" s="97" t="s">
        <v>72</v>
      </c>
      <c r="D12" s="92"/>
      <c r="E12" s="527">
        <f>'#2-32D'!E4</f>
        <v>2.0099999999999998</v>
      </c>
      <c r="F12" s="528" t="s">
        <v>269</v>
      </c>
      <c r="G12" s="406" t="s">
        <v>244</v>
      </c>
      <c r="H12" s="412"/>
      <c r="I12" s="433" t="str">
        <f>'#2-439'!B2</f>
        <v>CCP</v>
      </c>
      <c r="J12" s="461" t="s">
        <v>217</v>
      </c>
      <c r="K12" s="97" t="s">
        <v>72</v>
      </c>
      <c r="L12" s="92"/>
      <c r="M12" s="527">
        <f>'#2-439'!E4</f>
        <v>2.0099999999999998</v>
      </c>
      <c r="N12" s="528" t="s">
        <v>271</v>
      </c>
      <c r="O12" s="406" t="s">
        <v>244</v>
      </c>
      <c r="P12" s="412"/>
    </row>
    <row r="13" spans="1:17">
      <c r="C13" s="97" t="s">
        <v>73</v>
      </c>
      <c r="E13" s="527">
        <f>'#2-32D'!E5</f>
        <v>2.02</v>
      </c>
      <c r="F13" s="528" t="s">
        <v>269</v>
      </c>
      <c r="G13" s="406" t="s">
        <v>245</v>
      </c>
      <c r="H13" s="412"/>
      <c r="K13" s="97" t="s">
        <v>73</v>
      </c>
      <c r="M13" s="527">
        <f>'#2-439'!E5</f>
        <v>2.02</v>
      </c>
      <c r="N13" s="528" t="s">
        <v>271</v>
      </c>
      <c r="O13" s="406" t="s">
        <v>245</v>
      </c>
      <c r="P13" s="412"/>
    </row>
    <row r="14" spans="1:17">
      <c r="C14" s="97" t="s">
        <v>74</v>
      </c>
      <c r="E14" s="408"/>
      <c r="F14" s="406"/>
      <c r="G14" s="406"/>
      <c r="H14" s="412"/>
      <c r="K14" s="97" t="s">
        <v>74</v>
      </c>
      <c r="M14" s="408"/>
      <c r="N14" s="406"/>
      <c r="O14" s="406"/>
      <c r="P14" s="412"/>
    </row>
    <row r="15" spans="1:17">
      <c r="C15" s="97" t="s">
        <v>75</v>
      </c>
      <c r="E15" s="408"/>
      <c r="F15" s="406"/>
      <c r="G15" s="406"/>
      <c r="H15" s="412"/>
      <c r="K15" s="97" t="s">
        <v>75</v>
      </c>
      <c r="M15" s="408"/>
      <c r="N15" s="406"/>
      <c r="O15" s="406"/>
      <c r="P15" s="412"/>
    </row>
    <row r="16" spans="1:17">
      <c r="C16" s="97" t="s">
        <v>76</v>
      </c>
      <c r="E16" s="408"/>
      <c r="F16" s="406"/>
      <c r="G16" s="406"/>
      <c r="H16" s="412"/>
      <c r="K16" s="97" t="s">
        <v>76</v>
      </c>
      <c r="M16" s="408"/>
      <c r="N16" s="406"/>
      <c r="O16" s="406"/>
      <c r="P16" s="412"/>
    </row>
    <row r="17" spans="1:16">
      <c r="C17" s="405" t="s">
        <v>96</v>
      </c>
      <c r="E17" s="408"/>
      <c r="F17" s="406"/>
      <c r="G17" s="406"/>
      <c r="H17" s="412"/>
      <c r="K17" s="405" t="s">
        <v>96</v>
      </c>
      <c r="M17" s="408"/>
      <c r="N17" s="406"/>
      <c r="O17" s="406"/>
      <c r="P17" s="412"/>
    </row>
    <row r="18" spans="1:16">
      <c r="C18" s="405" t="s">
        <v>97</v>
      </c>
      <c r="E18" s="408"/>
      <c r="F18" s="406"/>
      <c r="G18" s="406"/>
      <c r="H18" s="412"/>
      <c r="K18" s="405" t="s">
        <v>97</v>
      </c>
      <c r="M18" s="408"/>
      <c r="N18" s="406"/>
      <c r="O18" s="406"/>
      <c r="P18" s="412"/>
    </row>
    <row r="19" spans="1:16">
      <c r="C19" s="405" t="s">
        <v>98</v>
      </c>
      <c r="E19" s="408"/>
      <c r="F19" s="406"/>
      <c r="G19" s="406"/>
      <c r="H19" s="412"/>
      <c r="K19" s="405" t="s">
        <v>98</v>
      </c>
      <c r="M19" s="408"/>
      <c r="N19" s="406"/>
      <c r="O19" s="406"/>
      <c r="P19" s="412"/>
    </row>
    <row r="20" spans="1:16">
      <c r="G20" s="414"/>
      <c r="H20" s="412"/>
      <c r="O20" s="414"/>
      <c r="P20" s="412"/>
    </row>
    <row r="21" spans="1:16">
      <c r="A21" s="433" t="str">
        <f>'#3-32D'!B2</f>
        <v>CCP</v>
      </c>
      <c r="B21" s="461" t="s">
        <v>230</v>
      </c>
      <c r="C21" s="97" t="s">
        <v>72</v>
      </c>
      <c r="D21" s="92"/>
      <c r="E21" s="527">
        <f>'#3-32D'!E4</f>
        <v>3.01</v>
      </c>
      <c r="F21" s="528" t="s">
        <v>270</v>
      </c>
      <c r="G21" s="406" t="s">
        <v>244</v>
      </c>
      <c r="H21" s="412"/>
      <c r="I21" s="433" t="str">
        <f>'#3-439'!B2</f>
        <v>CCP</v>
      </c>
      <c r="J21" s="461" t="s">
        <v>218</v>
      </c>
      <c r="K21" s="97" t="s">
        <v>72</v>
      </c>
      <c r="L21" s="92"/>
      <c r="M21" s="410"/>
      <c r="N21" s="406"/>
      <c r="O21" s="406"/>
      <c r="P21" s="412"/>
    </row>
    <row r="22" spans="1:16">
      <c r="C22" s="97" t="s">
        <v>73</v>
      </c>
      <c r="E22" s="410"/>
      <c r="F22" s="406"/>
      <c r="G22" s="406"/>
      <c r="H22" s="412"/>
      <c r="K22" s="97" t="s">
        <v>73</v>
      </c>
      <c r="M22" s="410"/>
      <c r="N22" s="406"/>
      <c r="O22" s="406"/>
      <c r="P22" s="412"/>
    </row>
    <row r="23" spans="1:16">
      <c r="C23" s="97" t="s">
        <v>74</v>
      </c>
      <c r="E23" s="410"/>
      <c r="F23" s="406"/>
      <c r="G23" s="406"/>
      <c r="H23" s="412"/>
      <c r="K23" s="97" t="s">
        <v>74</v>
      </c>
      <c r="M23" s="410"/>
      <c r="N23" s="406"/>
      <c r="O23" s="406"/>
      <c r="P23" s="412"/>
    </row>
    <row r="24" spans="1:16">
      <c r="C24" s="97" t="s">
        <v>75</v>
      </c>
      <c r="E24" s="410"/>
      <c r="F24" s="406"/>
      <c r="G24" s="406"/>
      <c r="H24" s="412"/>
      <c r="K24" s="97" t="s">
        <v>75</v>
      </c>
      <c r="M24" s="410"/>
      <c r="N24" s="406"/>
      <c r="O24" s="406"/>
      <c r="P24" s="412"/>
    </row>
    <row r="25" spans="1:16">
      <c r="C25" s="97" t="s">
        <v>76</v>
      </c>
      <c r="E25" s="410"/>
      <c r="F25" s="406"/>
      <c r="G25" s="406"/>
      <c r="H25" s="412"/>
      <c r="K25" s="97" t="s">
        <v>76</v>
      </c>
      <c r="M25" s="410"/>
      <c r="N25" s="406"/>
      <c r="O25" s="406"/>
      <c r="P25" s="412"/>
    </row>
    <row r="26" spans="1:16">
      <c r="C26" s="405" t="s">
        <v>96</v>
      </c>
      <c r="E26" s="410"/>
      <c r="F26" s="406"/>
      <c r="G26" s="406"/>
      <c r="H26" s="412"/>
      <c r="K26" s="405" t="s">
        <v>96</v>
      </c>
      <c r="M26" s="410"/>
      <c r="N26" s="406"/>
      <c r="O26" s="406"/>
      <c r="P26" s="412"/>
    </row>
    <row r="27" spans="1:16">
      <c r="C27" s="405" t="s">
        <v>97</v>
      </c>
      <c r="E27" s="410"/>
      <c r="F27" s="406"/>
      <c r="G27" s="406"/>
      <c r="H27" s="412"/>
      <c r="K27" s="405" t="s">
        <v>97</v>
      </c>
      <c r="M27" s="410"/>
      <c r="N27" s="406"/>
      <c r="O27" s="406"/>
      <c r="P27" s="412"/>
    </row>
    <row r="28" spans="1:16">
      <c r="C28" s="405" t="s">
        <v>98</v>
      </c>
      <c r="E28" s="410"/>
      <c r="F28" s="406"/>
      <c r="G28" s="406"/>
      <c r="H28" s="412"/>
      <c r="K28" s="405" t="s">
        <v>98</v>
      </c>
      <c r="M28" s="410"/>
      <c r="N28" s="406"/>
      <c r="O28" s="406"/>
      <c r="P28" s="412"/>
    </row>
    <row r="29" spans="1:16">
      <c r="G29" s="414"/>
      <c r="H29" s="412"/>
      <c r="O29" s="414"/>
      <c r="P29" s="412"/>
    </row>
    <row r="30" spans="1:16">
      <c r="A30" s="433" t="str">
        <f>'#4-32D'!B2</f>
        <v>CCP</v>
      </c>
      <c r="B30" s="461" t="s">
        <v>231</v>
      </c>
      <c r="C30" s="97" t="s">
        <v>72</v>
      </c>
      <c r="E30" s="410"/>
      <c r="F30" s="406"/>
      <c r="G30" s="406"/>
      <c r="H30" s="412"/>
      <c r="I30" s="433" t="str">
        <f>'#4-439'!B2</f>
        <v>CCP</v>
      </c>
      <c r="J30" s="461" t="s">
        <v>219</v>
      </c>
      <c r="K30" s="97" t="s">
        <v>72</v>
      </c>
      <c r="M30" s="410"/>
      <c r="N30" s="406"/>
      <c r="O30" s="406"/>
      <c r="P30" s="412"/>
    </row>
    <row r="31" spans="1:16">
      <c r="C31" s="97" t="s">
        <v>73</v>
      </c>
      <c r="E31" s="410"/>
      <c r="F31" s="406"/>
      <c r="G31" s="406"/>
      <c r="H31" s="412"/>
      <c r="K31" s="97" t="s">
        <v>73</v>
      </c>
      <c r="M31" s="410"/>
      <c r="N31" s="406"/>
      <c r="O31" s="406"/>
      <c r="P31" s="412"/>
    </row>
    <row r="32" spans="1:16">
      <c r="C32" s="97" t="s">
        <v>74</v>
      </c>
      <c r="E32" s="410"/>
      <c r="F32" s="406"/>
      <c r="G32" s="406"/>
      <c r="H32" s="412"/>
      <c r="K32" s="97" t="s">
        <v>74</v>
      </c>
      <c r="M32" s="410"/>
      <c r="N32" s="406"/>
      <c r="O32" s="406"/>
      <c r="P32" s="412"/>
    </row>
    <row r="33" spans="1:16">
      <c r="C33" s="97" t="s">
        <v>75</v>
      </c>
      <c r="E33" s="410"/>
      <c r="F33" s="406"/>
      <c r="G33" s="406"/>
      <c r="H33" s="412"/>
      <c r="K33" s="97" t="s">
        <v>75</v>
      </c>
      <c r="M33" s="410"/>
      <c r="N33" s="406"/>
      <c r="O33" s="406"/>
      <c r="P33" s="412"/>
    </row>
    <row r="34" spans="1:16">
      <c r="C34" s="97" t="s">
        <v>76</v>
      </c>
      <c r="E34" s="410"/>
      <c r="F34" s="406"/>
      <c r="G34" s="406"/>
      <c r="H34" s="412"/>
      <c r="K34" s="97" t="s">
        <v>76</v>
      </c>
      <c r="M34" s="410"/>
      <c r="N34" s="406"/>
      <c r="O34" s="406"/>
      <c r="P34" s="412"/>
    </row>
    <row r="35" spans="1:16">
      <c r="C35" s="405" t="s">
        <v>96</v>
      </c>
      <c r="E35" s="410"/>
      <c r="F35" s="406"/>
      <c r="G35" s="406"/>
      <c r="H35" s="412"/>
      <c r="K35" s="405" t="s">
        <v>96</v>
      </c>
      <c r="M35" s="410"/>
      <c r="N35" s="406"/>
      <c r="O35" s="406"/>
      <c r="P35" s="412"/>
    </row>
    <row r="36" spans="1:16">
      <c r="C36" s="405" t="s">
        <v>97</v>
      </c>
      <c r="E36" s="410"/>
      <c r="F36" s="406"/>
      <c r="G36" s="406"/>
      <c r="H36" s="412"/>
      <c r="K36" s="405" t="s">
        <v>97</v>
      </c>
      <c r="M36" s="410"/>
      <c r="N36" s="406"/>
      <c r="O36" s="406"/>
      <c r="P36" s="412"/>
    </row>
    <row r="37" spans="1:16">
      <c r="C37" s="405" t="s">
        <v>98</v>
      </c>
      <c r="E37" s="410"/>
      <c r="F37" s="406"/>
      <c r="G37" s="406"/>
      <c r="H37" s="412"/>
      <c r="K37" s="405" t="s">
        <v>98</v>
      </c>
      <c r="M37" s="410"/>
      <c r="N37" s="406"/>
      <c r="O37" s="406"/>
      <c r="P37" s="412"/>
    </row>
    <row r="38" spans="1:16">
      <c r="G38" s="89"/>
      <c r="H38" s="412"/>
      <c r="O38" s="89"/>
      <c r="P38" s="412"/>
    </row>
    <row r="39" spans="1:16">
      <c r="A39" s="433" t="str">
        <f>'#5-32D'!B2</f>
        <v>CCP</v>
      </c>
      <c r="B39" s="461" t="s">
        <v>232</v>
      </c>
      <c r="C39" s="97" t="s">
        <v>72</v>
      </c>
      <c r="E39" s="410"/>
      <c r="F39" s="406"/>
      <c r="G39" s="406"/>
      <c r="H39" s="412"/>
      <c r="I39" s="433" t="str">
        <f>'#5-439'!B2</f>
        <v>CCP</v>
      </c>
      <c r="J39" s="461" t="s">
        <v>220</v>
      </c>
      <c r="K39" s="97" t="s">
        <v>72</v>
      </c>
      <c r="M39" s="410"/>
      <c r="N39" s="406"/>
      <c r="O39" s="406"/>
      <c r="P39" s="412"/>
    </row>
    <row r="40" spans="1:16">
      <c r="C40" s="97" t="s">
        <v>73</v>
      </c>
      <c r="E40" s="410"/>
      <c r="F40" s="406"/>
      <c r="G40" s="406"/>
      <c r="H40" s="412"/>
      <c r="K40" s="97" t="s">
        <v>73</v>
      </c>
      <c r="M40" s="410"/>
      <c r="N40" s="406"/>
      <c r="O40" s="406"/>
      <c r="P40" s="412"/>
    </row>
    <row r="41" spans="1:16">
      <c r="C41" s="97" t="s">
        <v>74</v>
      </c>
      <c r="E41" s="410"/>
      <c r="F41" s="406"/>
      <c r="G41" s="406"/>
      <c r="H41" s="412"/>
      <c r="K41" s="97" t="s">
        <v>74</v>
      </c>
      <c r="M41" s="410"/>
      <c r="N41" s="406"/>
      <c r="O41" s="406"/>
      <c r="P41" s="412"/>
    </row>
    <row r="42" spans="1:16">
      <c r="C42" s="97" t="s">
        <v>75</v>
      </c>
      <c r="E42" s="410"/>
      <c r="F42" s="406"/>
      <c r="G42" s="406"/>
      <c r="H42" s="412"/>
      <c r="K42" s="97" t="s">
        <v>75</v>
      </c>
      <c r="M42" s="410"/>
      <c r="N42" s="406"/>
      <c r="O42" s="406"/>
      <c r="P42" s="412"/>
    </row>
    <row r="43" spans="1:16">
      <c r="C43" s="97" t="s">
        <v>76</v>
      </c>
      <c r="E43" s="410"/>
      <c r="F43" s="406"/>
      <c r="G43" s="406"/>
      <c r="H43" s="412"/>
      <c r="K43" s="97" t="s">
        <v>76</v>
      </c>
      <c r="M43" s="410"/>
      <c r="N43" s="406"/>
      <c r="O43" s="406"/>
      <c r="P43" s="412"/>
    </row>
    <row r="44" spans="1:16">
      <c r="C44" s="405" t="s">
        <v>96</v>
      </c>
      <c r="E44" s="410"/>
      <c r="F44" s="406"/>
      <c r="G44" s="406"/>
      <c r="H44" s="412"/>
      <c r="K44" s="405" t="s">
        <v>96</v>
      </c>
      <c r="M44" s="410"/>
      <c r="N44" s="406"/>
      <c r="O44" s="406"/>
      <c r="P44" s="412"/>
    </row>
    <row r="45" spans="1:16">
      <c r="C45" s="405" t="s">
        <v>97</v>
      </c>
      <c r="E45" s="410"/>
      <c r="F45" s="406"/>
      <c r="G45" s="406"/>
      <c r="H45" s="412"/>
      <c r="K45" s="405" t="s">
        <v>97</v>
      </c>
      <c r="M45" s="410"/>
      <c r="N45" s="406"/>
      <c r="O45" s="406"/>
      <c r="P45" s="412"/>
    </row>
    <row r="46" spans="1:16">
      <c r="C46" s="405" t="s">
        <v>98</v>
      </c>
      <c r="E46" s="410"/>
      <c r="F46" s="406"/>
      <c r="G46" s="406"/>
      <c r="H46" s="412"/>
      <c r="K46" s="405" t="s">
        <v>98</v>
      </c>
      <c r="M46" s="410"/>
      <c r="N46" s="406"/>
      <c r="O46" s="406"/>
      <c r="P46" s="412"/>
    </row>
    <row r="47" spans="1:16">
      <c r="G47" s="414"/>
      <c r="H47" s="412"/>
      <c r="O47" s="414"/>
      <c r="P47" s="412"/>
    </row>
    <row r="48" spans="1:16">
      <c r="A48" s="433" t="str">
        <f>'#6-32D'!B2</f>
        <v>CCP</v>
      </c>
      <c r="B48" s="461" t="s">
        <v>233</v>
      </c>
      <c r="C48" s="97" t="s">
        <v>72</v>
      </c>
      <c r="E48" s="410"/>
      <c r="F48" s="406"/>
      <c r="G48" s="406"/>
      <c r="H48" s="412"/>
      <c r="I48" s="433" t="str">
        <f>'#6-439'!B2</f>
        <v>CCP</v>
      </c>
      <c r="J48" s="461" t="s">
        <v>221</v>
      </c>
      <c r="K48" s="97" t="s">
        <v>72</v>
      </c>
      <c r="M48" s="410"/>
      <c r="N48" s="406"/>
      <c r="O48" s="406"/>
      <c r="P48" s="412"/>
    </row>
    <row r="49" spans="1:16">
      <c r="C49" s="97" t="s">
        <v>73</v>
      </c>
      <c r="E49" s="410"/>
      <c r="F49" s="406"/>
      <c r="G49" s="406"/>
      <c r="H49" s="412"/>
      <c r="K49" s="97" t="s">
        <v>73</v>
      </c>
      <c r="M49" s="410"/>
      <c r="N49" s="406"/>
      <c r="O49" s="406"/>
      <c r="P49" s="412"/>
    </row>
    <row r="50" spans="1:16">
      <c r="C50" s="97" t="s">
        <v>74</v>
      </c>
      <c r="E50" s="410"/>
      <c r="F50" s="406"/>
      <c r="G50" s="406"/>
      <c r="H50" s="412"/>
      <c r="K50" s="97" t="s">
        <v>74</v>
      </c>
      <c r="M50" s="410"/>
      <c r="N50" s="406"/>
      <c r="O50" s="406"/>
      <c r="P50" s="412"/>
    </row>
    <row r="51" spans="1:16">
      <c r="C51" s="97" t="s">
        <v>75</v>
      </c>
      <c r="E51" s="410"/>
      <c r="F51" s="406"/>
      <c r="G51" s="406"/>
      <c r="H51" s="412"/>
      <c r="K51" s="97" t="s">
        <v>75</v>
      </c>
      <c r="M51" s="410"/>
      <c r="N51" s="406"/>
      <c r="O51" s="406"/>
      <c r="P51" s="412"/>
    </row>
    <row r="52" spans="1:16">
      <c r="C52" s="97" t="s">
        <v>76</v>
      </c>
      <c r="E52" s="410"/>
      <c r="F52" s="406"/>
      <c r="G52" s="406"/>
      <c r="H52" s="412"/>
      <c r="K52" s="97" t="s">
        <v>76</v>
      </c>
      <c r="M52" s="410"/>
      <c r="N52" s="406"/>
      <c r="O52" s="406"/>
      <c r="P52" s="412"/>
    </row>
    <row r="53" spans="1:16">
      <c r="C53" s="405" t="s">
        <v>96</v>
      </c>
      <c r="E53" s="410"/>
      <c r="F53" s="406"/>
      <c r="G53" s="406"/>
      <c r="H53" s="412"/>
      <c r="K53" s="405" t="s">
        <v>96</v>
      </c>
      <c r="M53" s="410"/>
      <c r="N53" s="406"/>
      <c r="O53" s="406"/>
      <c r="P53" s="412"/>
    </row>
    <row r="54" spans="1:16">
      <c r="C54" s="405" t="s">
        <v>97</v>
      </c>
      <c r="E54" s="410"/>
      <c r="F54" s="406"/>
      <c r="G54" s="406"/>
      <c r="H54" s="412"/>
      <c r="K54" s="405" t="s">
        <v>97</v>
      </c>
      <c r="M54" s="410"/>
      <c r="N54" s="406"/>
      <c r="O54" s="406"/>
      <c r="P54" s="412"/>
    </row>
    <row r="55" spans="1:16">
      <c r="C55" s="405" t="s">
        <v>98</v>
      </c>
      <c r="E55" s="410"/>
      <c r="F55" s="406"/>
      <c r="G55" s="406"/>
      <c r="H55" s="412"/>
      <c r="K55" s="405" t="s">
        <v>98</v>
      </c>
      <c r="M55" s="410"/>
      <c r="N55" s="406"/>
      <c r="O55" s="406"/>
      <c r="P55" s="412"/>
    </row>
    <row r="56" spans="1:16">
      <c r="A56" s="90"/>
      <c r="B56" s="90"/>
      <c r="C56" s="90"/>
      <c r="D56" s="90"/>
      <c r="E56" s="90"/>
      <c r="F56" s="90"/>
      <c r="G56" s="90"/>
      <c r="H56" s="20"/>
      <c r="I56" s="90"/>
      <c r="J56" s="90"/>
      <c r="K56" s="90"/>
      <c r="L56" s="90"/>
      <c r="M56" s="90"/>
      <c r="N56" s="90"/>
      <c r="O56" s="90"/>
      <c r="P56" s="20"/>
    </row>
    <row r="57" spans="1:16">
      <c r="A57" s="89"/>
      <c r="B57" s="90"/>
      <c r="C57" s="90"/>
      <c r="D57" s="90"/>
      <c r="E57" s="90"/>
      <c r="F57" s="90"/>
      <c r="G57" s="90"/>
      <c r="H57" s="20"/>
      <c r="I57" s="89"/>
      <c r="J57" s="90"/>
      <c r="K57" s="90"/>
      <c r="L57" s="90"/>
      <c r="M57" s="90"/>
      <c r="N57" s="90"/>
      <c r="O57" s="90"/>
      <c r="P57" s="20"/>
    </row>
    <row r="58" spans="1:16">
      <c r="A58" s="90"/>
      <c r="B58" s="90"/>
      <c r="C58" s="90"/>
      <c r="D58" s="90"/>
      <c r="E58" s="90"/>
      <c r="F58" s="90"/>
      <c r="G58" s="90"/>
      <c r="H58" s="20"/>
      <c r="I58" s="90"/>
      <c r="J58" s="90"/>
      <c r="K58" s="90"/>
      <c r="L58" s="90"/>
      <c r="M58" s="90"/>
      <c r="N58" s="90"/>
      <c r="O58" s="90"/>
      <c r="P58" s="20"/>
    </row>
    <row r="59" spans="1:16">
      <c r="A59" s="90"/>
      <c r="B59" s="90"/>
      <c r="C59" s="90"/>
      <c r="D59" s="90"/>
      <c r="E59" s="90"/>
      <c r="F59" s="90"/>
      <c r="G59" s="90"/>
      <c r="H59" s="20"/>
      <c r="I59" s="90"/>
      <c r="J59" s="90"/>
      <c r="K59" s="90"/>
      <c r="L59" s="90"/>
      <c r="M59" s="90"/>
      <c r="N59" s="90"/>
      <c r="O59" s="90"/>
      <c r="P59" s="20"/>
    </row>
    <row r="60" spans="1:16">
      <c r="A60" s="90"/>
      <c r="B60" s="90"/>
      <c r="C60" s="90"/>
      <c r="D60" s="90"/>
      <c r="E60" s="90"/>
      <c r="F60" s="90"/>
      <c r="G60" s="90"/>
      <c r="H60" s="20"/>
      <c r="I60" s="90"/>
      <c r="J60" s="90"/>
      <c r="K60" s="90"/>
      <c r="L60" s="90"/>
      <c r="M60" s="90"/>
      <c r="N60" s="90"/>
      <c r="O60" s="90"/>
      <c r="P60" s="20"/>
    </row>
    <row r="61" spans="1:16">
      <c r="A61" s="90"/>
      <c r="B61" s="90"/>
      <c r="C61" s="90"/>
      <c r="D61" s="90"/>
      <c r="E61" s="90"/>
      <c r="F61" s="90"/>
      <c r="G61" s="90"/>
      <c r="H61" s="20"/>
      <c r="I61" s="90"/>
      <c r="J61" s="90"/>
      <c r="K61" s="90"/>
      <c r="L61" s="90"/>
      <c r="M61" s="90"/>
      <c r="N61" s="90"/>
      <c r="O61" s="90"/>
      <c r="P61" s="20"/>
    </row>
    <row r="62" spans="1:16">
      <c r="A62" s="90"/>
      <c r="B62" s="90"/>
      <c r="C62" s="90"/>
      <c r="D62" s="90"/>
      <c r="E62" s="90"/>
      <c r="F62" s="90"/>
      <c r="G62" s="90"/>
      <c r="H62" s="20"/>
      <c r="I62" s="90"/>
      <c r="J62" s="90"/>
      <c r="K62" s="90"/>
      <c r="L62" s="90"/>
      <c r="M62" s="90"/>
      <c r="N62" s="90"/>
      <c r="O62" s="90"/>
      <c r="P62" s="20"/>
    </row>
    <row r="63" spans="1:16">
      <c r="A63" s="90"/>
      <c r="B63" s="90"/>
      <c r="C63" s="90"/>
      <c r="D63" s="90"/>
      <c r="E63" s="90"/>
      <c r="F63" s="90"/>
      <c r="G63" s="90"/>
      <c r="H63" s="20"/>
      <c r="I63" s="90"/>
      <c r="J63" s="90"/>
      <c r="K63" s="90"/>
      <c r="L63" s="90"/>
      <c r="M63" s="90"/>
      <c r="N63" s="90"/>
      <c r="O63" s="90"/>
      <c r="P63" s="20"/>
    </row>
    <row r="64" spans="1:16">
      <c r="A64" s="90"/>
      <c r="B64" s="90"/>
      <c r="C64" s="90"/>
      <c r="D64" s="90"/>
      <c r="E64" s="90"/>
      <c r="F64" s="90"/>
      <c r="G64" s="90"/>
      <c r="H64" s="20"/>
      <c r="I64" s="90"/>
      <c r="J64" s="90"/>
      <c r="K64" s="90"/>
      <c r="L64" s="90"/>
      <c r="M64" s="90"/>
      <c r="N64" s="90"/>
      <c r="O64" s="90"/>
      <c r="P64" s="20"/>
    </row>
    <row r="65" spans="1:16">
      <c r="A65" s="90"/>
      <c r="B65" s="90"/>
      <c r="C65" s="90"/>
      <c r="D65" s="90"/>
      <c r="E65" s="90"/>
      <c r="F65" s="90"/>
      <c r="G65" s="90"/>
      <c r="H65" s="20"/>
      <c r="I65" s="90"/>
      <c r="J65" s="90"/>
      <c r="K65" s="90"/>
      <c r="L65" s="90"/>
      <c r="M65" s="90"/>
      <c r="N65" s="90"/>
      <c r="O65" s="90"/>
      <c r="P65" s="20"/>
    </row>
    <row r="66" spans="1:16">
      <c r="A66" s="90"/>
      <c r="B66" s="90"/>
      <c r="C66" s="90"/>
      <c r="D66" s="90"/>
      <c r="E66" s="90"/>
      <c r="F66" s="90"/>
      <c r="G66" s="90"/>
      <c r="H66" s="20"/>
      <c r="I66" s="90"/>
      <c r="J66" s="90"/>
      <c r="K66" s="90"/>
      <c r="L66" s="90"/>
      <c r="M66" s="90"/>
      <c r="N66" s="90"/>
      <c r="O66" s="90"/>
      <c r="P66" s="20"/>
    </row>
    <row r="67" spans="1:16">
      <c r="A67" s="90"/>
      <c r="B67" s="90"/>
      <c r="C67" s="90"/>
      <c r="D67" s="90"/>
      <c r="E67" s="90"/>
      <c r="F67" s="90"/>
      <c r="G67" s="90"/>
      <c r="H67" s="20"/>
      <c r="I67" s="90"/>
      <c r="J67" s="90"/>
      <c r="K67" s="90"/>
      <c r="L67" s="90"/>
      <c r="M67" s="90"/>
      <c r="N67" s="90"/>
      <c r="O67" s="90"/>
      <c r="P67" s="20"/>
    </row>
    <row r="68" spans="1:16">
      <c r="A68" s="90"/>
      <c r="B68" s="90"/>
      <c r="C68" s="90"/>
      <c r="D68" s="90"/>
      <c r="E68" s="90"/>
      <c r="F68" s="90"/>
      <c r="G68" s="90"/>
      <c r="H68" s="20"/>
      <c r="I68" s="90"/>
      <c r="J68" s="90"/>
      <c r="K68" s="90"/>
      <c r="L68" s="90"/>
      <c r="M68" s="90"/>
      <c r="N68" s="90"/>
      <c r="O68" s="90"/>
      <c r="P68" s="20"/>
    </row>
    <row r="69" spans="1:16">
      <c r="A69" s="90"/>
      <c r="B69" s="90"/>
      <c r="C69" s="90"/>
      <c r="D69" s="90"/>
      <c r="E69" s="90"/>
      <c r="F69" s="90"/>
      <c r="G69" s="90"/>
      <c r="H69" s="20"/>
      <c r="I69" s="90"/>
      <c r="J69" s="90"/>
      <c r="K69" s="90"/>
      <c r="L69" s="90"/>
      <c r="M69" s="90"/>
      <c r="N69" s="90"/>
      <c r="O69" s="90"/>
      <c r="P69" s="20"/>
    </row>
    <row r="70" spans="1:16">
      <c r="A70" s="90"/>
      <c r="B70" s="90"/>
      <c r="C70" s="90"/>
      <c r="D70" s="90"/>
      <c r="E70" s="90"/>
      <c r="F70" s="90"/>
      <c r="G70" s="90"/>
      <c r="H70" s="20"/>
      <c r="I70" s="90"/>
      <c r="J70" s="90"/>
      <c r="K70" s="90"/>
      <c r="L70" s="90"/>
      <c r="M70" s="90"/>
      <c r="N70" s="90"/>
      <c r="O70" s="90"/>
      <c r="P70" s="20"/>
    </row>
    <row r="71" spans="1:16">
      <c r="A71" s="90"/>
      <c r="B71" s="90"/>
      <c r="C71" s="90"/>
      <c r="D71" s="90"/>
      <c r="E71" s="90"/>
      <c r="F71" s="90"/>
      <c r="G71" s="90"/>
      <c r="H71" s="20"/>
      <c r="I71" s="90"/>
      <c r="J71" s="90"/>
      <c r="K71" s="90"/>
      <c r="L71" s="90"/>
      <c r="M71" s="90"/>
      <c r="N71" s="90"/>
      <c r="O71" s="90"/>
      <c r="P71" s="20"/>
    </row>
    <row r="72" spans="1:16">
      <c r="A72" s="90"/>
      <c r="B72" s="90"/>
      <c r="C72" s="90"/>
      <c r="D72" s="90"/>
      <c r="E72" s="90"/>
      <c r="F72" s="90"/>
      <c r="G72" s="90"/>
      <c r="H72" s="20"/>
      <c r="I72" s="90"/>
      <c r="J72" s="90"/>
      <c r="K72" s="90"/>
      <c r="L72" s="90"/>
      <c r="M72" s="90"/>
      <c r="N72" s="90"/>
      <c r="O72" s="90"/>
      <c r="P72" s="20"/>
    </row>
    <row r="73" spans="1:16">
      <c r="A73" s="90"/>
      <c r="B73" s="90"/>
      <c r="C73" s="90"/>
      <c r="D73" s="90"/>
      <c r="E73" s="90"/>
      <c r="F73" s="90"/>
      <c r="G73" s="90"/>
      <c r="H73" s="20"/>
      <c r="I73" s="90"/>
      <c r="J73" s="90"/>
      <c r="K73" s="90"/>
      <c r="L73" s="90"/>
      <c r="M73" s="90"/>
      <c r="N73" s="90"/>
      <c r="O73" s="90"/>
      <c r="P73" s="20"/>
    </row>
    <row r="74" spans="1:16">
      <c r="A74" s="90"/>
      <c r="B74" s="90"/>
      <c r="C74" s="90"/>
      <c r="D74" s="90"/>
      <c r="E74" s="90"/>
      <c r="F74" s="90"/>
      <c r="G74" s="90"/>
      <c r="H74" s="20"/>
      <c r="I74" s="90"/>
      <c r="J74" s="90"/>
      <c r="K74" s="90"/>
      <c r="L74" s="90"/>
      <c r="M74" s="90"/>
      <c r="N74" s="90"/>
      <c r="O74" s="90"/>
      <c r="P74" s="20"/>
    </row>
    <row r="75" spans="1:16">
      <c r="A75" s="90"/>
      <c r="B75" s="90"/>
      <c r="C75" s="90"/>
      <c r="D75" s="90"/>
      <c r="E75" s="90"/>
      <c r="F75" s="90"/>
      <c r="G75" s="90"/>
      <c r="H75" s="20"/>
      <c r="I75" s="90"/>
      <c r="J75" s="90"/>
      <c r="K75" s="90"/>
      <c r="L75" s="90"/>
      <c r="M75" s="90"/>
      <c r="N75" s="90"/>
      <c r="O75" s="90"/>
      <c r="P75" s="20"/>
    </row>
    <row r="76" spans="1:16">
      <c r="A76" s="90"/>
      <c r="B76" s="90"/>
      <c r="C76" s="90"/>
      <c r="D76" s="90"/>
      <c r="E76" s="90"/>
      <c r="F76" s="90"/>
      <c r="G76" s="90"/>
      <c r="H76" s="20"/>
      <c r="I76" s="90"/>
      <c r="J76" s="90"/>
      <c r="K76" s="90"/>
      <c r="L76" s="90"/>
      <c r="M76" s="90"/>
      <c r="N76" s="90"/>
      <c r="O76" s="90"/>
      <c r="P76" s="20"/>
    </row>
    <row r="77" spans="1:16">
      <c r="A77" s="90"/>
      <c r="B77" s="90"/>
      <c r="C77" s="90"/>
      <c r="D77" s="90"/>
      <c r="E77" s="90"/>
      <c r="F77" s="90"/>
      <c r="G77" s="90"/>
      <c r="H77" s="20"/>
      <c r="I77" s="90"/>
      <c r="J77" s="90"/>
      <c r="K77" s="90"/>
      <c r="L77" s="90"/>
      <c r="M77" s="90"/>
      <c r="N77" s="90"/>
      <c r="O77" s="90"/>
      <c r="P77" s="20"/>
    </row>
    <row r="78" spans="1:16">
      <c r="A78" s="90"/>
      <c r="B78" s="90"/>
      <c r="C78" s="90"/>
      <c r="D78" s="90"/>
      <c r="E78" s="90"/>
      <c r="F78" s="90"/>
      <c r="G78" s="90"/>
      <c r="H78" s="20"/>
      <c r="I78" s="90"/>
      <c r="J78" s="90"/>
      <c r="K78" s="90"/>
      <c r="L78" s="90"/>
      <c r="M78" s="90"/>
      <c r="N78" s="90"/>
      <c r="O78" s="90"/>
      <c r="P78" s="20"/>
    </row>
    <row r="79" spans="1:16">
      <c r="A79" s="90"/>
      <c r="B79" s="90"/>
      <c r="C79" s="90"/>
      <c r="D79" s="90"/>
      <c r="E79" s="90"/>
      <c r="F79" s="90"/>
      <c r="G79" s="90"/>
      <c r="H79" s="20"/>
      <c r="I79" s="90"/>
      <c r="J79" s="90"/>
      <c r="K79" s="90"/>
      <c r="L79" s="90"/>
      <c r="M79" s="90"/>
      <c r="N79" s="90"/>
      <c r="O79" s="90"/>
      <c r="P79" s="20"/>
    </row>
    <row r="80" spans="1:16">
      <c r="A80" s="90"/>
      <c r="B80" s="90"/>
      <c r="C80" s="90"/>
      <c r="D80" s="90"/>
      <c r="E80" s="90"/>
      <c r="F80" s="90"/>
      <c r="G80" s="90"/>
      <c r="H80" s="20"/>
      <c r="I80" s="90"/>
      <c r="J80" s="90"/>
      <c r="K80" s="90"/>
      <c r="L80" s="90"/>
      <c r="M80" s="90"/>
      <c r="N80" s="90"/>
      <c r="O80" s="90"/>
      <c r="P80" s="20"/>
    </row>
    <row r="81" spans="1:16">
      <c r="A81" s="90"/>
      <c r="B81" s="90"/>
      <c r="C81" s="90"/>
      <c r="D81" s="90"/>
      <c r="E81" s="90"/>
      <c r="F81" s="90"/>
      <c r="G81" s="90"/>
      <c r="H81" s="20"/>
      <c r="I81" s="90"/>
      <c r="J81" s="90"/>
      <c r="K81" s="90"/>
      <c r="L81" s="90"/>
      <c r="M81" s="90"/>
      <c r="N81" s="90"/>
      <c r="O81" s="90"/>
      <c r="P81" s="20"/>
    </row>
    <row r="82" spans="1:16">
      <c r="A82" s="90"/>
      <c r="B82" s="90"/>
      <c r="C82" s="90"/>
      <c r="D82" s="90"/>
      <c r="E82" s="90"/>
      <c r="F82" s="90"/>
      <c r="G82" s="90"/>
      <c r="H82" s="20"/>
      <c r="I82" s="90"/>
      <c r="J82" s="90"/>
      <c r="K82" s="90"/>
      <c r="L82" s="90"/>
      <c r="M82" s="90"/>
      <c r="N82" s="90"/>
      <c r="O82" s="90"/>
      <c r="P82" s="20"/>
    </row>
    <row r="83" spans="1:16">
      <c r="A83" s="90"/>
      <c r="B83" s="90"/>
      <c r="C83" s="90"/>
      <c r="D83" s="90"/>
      <c r="E83" s="90"/>
      <c r="F83" s="90"/>
      <c r="G83" s="90"/>
      <c r="H83" s="20"/>
      <c r="I83" s="90"/>
      <c r="J83" s="90"/>
      <c r="K83" s="90"/>
      <c r="L83" s="90"/>
      <c r="M83" s="90"/>
      <c r="N83" s="90"/>
      <c r="O83" s="90"/>
      <c r="P83" s="20"/>
    </row>
    <row r="84" spans="1:16">
      <c r="A84" s="90"/>
      <c r="B84" s="90"/>
      <c r="C84" s="90"/>
      <c r="D84" s="90"/>
      <c r="E84" s="90"/>
      <c r="F84" s="90"/>
      <c r="G84" s="90"/>
      <c r="H84" s="20"/>
      <c r="I84" s="90"/>
      <c r="J84" s="90"/>
      <c r="K84" s="90"/>
      <c r="L84" s="90"/>
      <c r="M84" s="90"/>
      <c r="N84" s="90"/>
      <c r="O84" s="90"/>
      <c r="P84" s="20"/>
    </row>
    <row r="85" spans="1:16">
      <c r="A85" s="90"/>
      <c r="B85" s="90"/>
      <c r="C85" s="90"/>
      <c r="D85" s="90"/>
      <c r="E85" s="90"/>
      <c r="F85" s="90"/>
      <c r="G85" s="90"/>
      <c r="H85" s="20"/>
      <c r="I85" s="90"/>
      <c r="J85" s="90"/>
      <c r="K85" s="90"/>
      <c r="L85" s="90"/>
      <c r="M85" s="90"/>
      <c r="N85" s="90"/>
      <c r="O85" s="90"/>
      <c r="P85" s="20"/>
    </row>
    <row r="86" spans="1:16">
      <c r="A86" s="90"/>
      <c r="B86" s="90"/>
      <c r="C86" s="90"/>
      <c r="D86" s="90"/>
      <c r="E86" s="90"/>
      <c r="F86" s="90"/>
      <c r="G86" s="90"/>
      <c r="H86" s="20"/>
      <c r="I86" s="90"/>
      <c r="J86" s="90"/>
      <c r="K86" s="90"/>
      <c r="L86" s="90"/>
      <c r="M86" s="90"/>
      <c r="N86" s="90"/>
      <c r="O86" s="90"/>
      <c r="P86" s="20"/>
    </row>
    <row r="87" spans="1:16">
      <c r="A87" s="90"/>
      <c r="B87" s="90"/>
      <c r="C87" s="90"/>
      <c r="D87" s="90"/>
      <c r="E87" s="90"/>
      <c r="F87" s="90"/>
      <c r="G87" s="90"/>
      <c r="H87" s="20"/>
      <c r="I87" s="90"/>
      <c r="J87" s="90"/>
      <c r="K87" s="90"/>
      <c r="L87" s="90"/>
      <c r="M87" s="90"/>
      <c r="N87" s="90"/>
      <c r="O87" s="90"/>
      <c r="P87" s="20"/>
    </row>
    <row r="88" spans="1:16">
      <c r="A88" s="90"/>
      <c r="B88" s="90"/>
      <c r="C88" s="90"/>
      <c r="D88" s="90"/>
      <c r="E88" s="90"/>
      <c r="F88" s="90"/>
      <c r="G88" s="90"/>
      <c r="H88" s="20"/>
      <c r="I88" s="90"/>
      <c r="J88" s="90"/>
      <c r="K88" s="90"/>
      <c r="L88" s="90"/>
      <c r="M88" s="90"/>
      <c r="N88" s="90"/>
      <c r="O88" s="90"/>
      <c r="P88" s="20"/>
    </row>
    <row r="89" spans="1:16">
      <c r="A89" s="90"/>
      <c r="B89" s="90"/>
      <c r="C89" s="90"/>
      <c r="D89" s="90"/>
      <c r="E89" s="90"/>
      <c r="F89" s="90"/>
      <c r="G89" s="90"/>
      <c r="H89" s="20"/>
      <c r="I89" s="90"/>
      <c r="J89" s="90"/>
      <c r="K89" s="90"/>
      <c r="L89" s="90"/>
      <c r="M89" s="90"/>
      <c r="N89" s="90"/>
      <c r="O89" s="90"/>
      <c r="P89" s="20"/>
    </row>
    <row r="90" spans="1:16">
      <c r="A90" s="90"/>
      <c r="B90" s="90"/>
      <c r="C90" s="90"/>
      <c r="D90" s="90"/>
      <c r="E90" s="90"/>
      <c r="F90" s="90"/>
      <c r="G90" s="90"/>
      <c r="H90" s="20"/>
      <c r="I90" s="90"/>
      <c r="J90" s="90"/>
      <c r="K90" s="90"/>
      <c r="L90" s="90"/>
      <c r="M90" s="90"/>
      <c r="N90" s="90"/>
      <c r="O90" s="90"/>
      <c r="P90" s="20"/>
    </row>
    <row r="91" spans="1:16">
      <c r="A91" s="90"/>
      <c r="B91" s="90"/>
      <c r="C91" s="90"/>
      <c r="D91" s="90"/>
      <c r="E91" s="90"/>
      <c r="F91" s="90"/>
      <c r="G91" s="90"/>
      <c r="H91" s="20"/>
      <c r="I91" s="90"/>
      <c r="J91" s="90"/>
      <c r="K91" s="90"/>
      <c r="L91" s="90"/>
      <c r="M91" s="90"/>
      <c r="N91" s="90"/>
      <c r="O91" s="90"/>
      <c r="P91" s="20"/>
    </row>
    <row r="92" spans="1:16">
      <c r="A92" s="90"/>
      <c r="B92" s="90"/>
      <c r="C92" s="90"/>
      <c r="D92" s="90"/>
      <c r="E92" s="90"/>
      <c r="F92" s="90"/>
      <c r="G92" s="90"/>
      <c r="H92" s="20"/>
      <c r="I92" s="90"/>
      <c r="J92" s="90"/>
      <c r="K92" s="90"/>
      <c r="L92" s="90"/>
      <c r="M92" s="90"/>
      <c r="N92" s="90"/>
      <c r="O92" s="90"/>
      <c r="P92" s="20"/>
    </row>
    <row r="93" spans="1:16">
      <c r="A93" s="90"/>
      <c r="B93" s="90"/>
      <c r="C93" s="90"/>
      <c r="D93" s="90"/>
      <c r="E93" s="90"/>
      <c r="F93" s="90"/>
      <c r="G93" s="90"/>
      <c r="H93" s="20"/>
      <c r="I93" s="90"/>
      <c r="J93" s="90"/>
      <c r="K93" s="90"/>
      <c r="L93" s="90"/>
      <c r="M93" s="90"/>
      <c r="N93" s="90"/>
      <c r="O93" s="90"/>
      <c r="P93" s="20"/>
    </row>
    <row r="94" spans="1:16">
      <c r="A94" s="90"/>
      <c r="B94" s="90"/>
      <c r="C94" s="90"/>
      <c r="D94" s="90"/>
      <c r="E94" s="90"/>
      <c r="F94" s="90"/>
      <c r="G94" s="90"/>
      <c r="H94" s="20"/>
      <c r="I94" s="90"/>
      <c r="J94" s="90"/>
      <c r="K94" s="90"/>
      <c r="L94" s="90"/>
      <c r="M94" s="90"/>
      <c r="N94" s="90"/>
      <c r="O94" s="90"/>
      <c r="P94" s="20"/>
    </row>
    <row r="95" spans="1:16">
      <c r="A95" s="90"/>
      <c r="B95" s="90"/>
      <c r="C95" s="90"/>
      <c r="D95" s="90"/>
      <c r="E95" s="90"/>
      <c r="F95" s="90"/>
      <c r="G95" s="90"/>
      <c r="H95" s="20"/>
      <c r="I95" s="90"/>
      <c r="J95" s="90"/>
      <c r="K95" s="90"/>
      <c r="L95" s="90"/>
      <c r="M95" s="90"/>
      <c r="N95" s="90"/>
      <c r="O95" s="90"/>
      <c r="P95" s="20"/>
    </row>
    <row r="96" spans="1:16">
      <c r="A96" s="90"/>
      <c r="B96" s="90"/>
      <c r="C96" s="90"/>
      <c r="D96" s="90"/>
      <c r="E96" s="90"/>
      <c r="F96" s="90"/>
      <c r="G96" s="90"/>
      <c r="H96" s="20"/>
      <c r="I96" s="90"/>
      <c r="J96" s="90"/>
      <c r="K96" s="90"/>
      <c r="L96" s="90"/>
      <c r="M96" s="90"/>
      <c r="N96" s="90"/>
      <c r="O96" s="90"/>
      <c r="P96" s="20"/>
    </row>
    <row r="97" spans="1:16">
      <c r="A97" s="90"/>
      <c r="B97" s="90"/>
      <c r="C97" s="90"/>
      <c r="D97" s="90"/>
      <c r="E97" s="90"/>
      <c r="F97" s="90"/>
      <c r="G97" s="90"/>
      <c r="H97" s="20"/>
      <c r="I97" s="90"/>
      <c r="J97" s="90"/>
      <c r="K97" s="90"/>
      <c r="L97" s="90"/>
      <c r="M97" s="90"/>
      <c r="N97" s="90"/>
      <c r="O97" s="90"/>
      <c r="P97" s="20"/>
    </row>
    <row r="98" spans="1:16">
      <c r="A98" s="90"/>
      <c r="B98" s="90"/>
      <c r="C98" s="90"/>
      <c r="D98" s="90"/>
      <c r="E98" s="90"/>
      <c r="F98" s="90"/>
      <c r="G98" s="90"/>
      <c r="H98" s="20"/>
      <c r="I98" s="90"/>
      <c r="J98" s="90"/>
      <c r="K98" s="90"/>
      <c r="L98" s="90"/>
      <c r="M98" s="90"/>
      <c r="N98" s="90"/>
      <c r="O98" s="90"/>
      <c r="P98" s="20"/>
    </row>
    <row r="99" spans="1:16">
      <c r="A99" s="90"/>
      <c r="B99" s="90"/>
      <c r="C99" s="90"/>
      <c r="D99" s="90"/>
      <c r="E99" s="90"/>
      <c r="F99" s="90"/>
      <c r="G99" s="90"/>
      <c r="H99" s="20"/>
      <c r="I99" s="90"/>
      <c r="J99" s="90"/>
      <c r="K99" s="90"/>
      <c r="L99" s="90"/>
      <c r="M99" s="90"/>
      <c r="N99" s="90"/>
      <c r="O99" s="90"/>
      <c r="P99" s="20"/>
    </row>
    <row r="100" spans="1:16">
      <c r="A100" s="90"/>
      <c r="B100" s="90"/>
      <c r="C100" s="90"/>
      <c r="D100" s="90"/>
      <c r="E100" s="90"/>
      <c r="F100" s="90"/>
      <c r="G100" s="90"/>
      <c r="H100" s="20"/>
      <c r="I100" s="90"/>
      <c r="J100" s="90"/>
      <c r="K100" s="90"/>
      <c r="L100" s="90"/>
      <c r="M100" s="90"/>
      <c r="N100" s="90"/>
      <c r="O100" s="90"/>
      <c r="P100" s="20"/>
    </row>
    <row r="101" spans="1:16">
      <c r="A101" s="90"/>
      <c r="B101" s="90"/>
      <c r="C101" s="90"/>
      <c r="D101" s="90"/>
      <c r="E101" s="90"/>
      <c r="F101" s="90"/>
      <c r="G101" s="90"/>
      <c r="H101" s="20"/>
      <c r="I101" s="90"/>
      <c r="J101" s="90"/>
      <c r="K101" s="90"/>
      <c r="L101" s="90"/>
      <c r="M101" s="90"/>
      <c r="N101" s="90"/>
      <c r="O101" s="90"/>
      <c r="P101" s="20"/>
    </row>
    <row r="102" spans="1:16">
      <c r="A102" s="90"/>
      <c r="B102" s="90"/>
      <c r="C102" s="90"/>
      <c r="D102" s="90"/>
      <c r="E102" s="90"/>
      <c r="F102" s="90"/>
      <c r="G102" s="90"/>
      <c r="H102" s="20"/>
      <c r="I102" s="90"/>
      <c r="J102" s="90"/>
      <c r="K102" s="90"/>
      <c r="L102" s="90"/>
      <c r="M102" s="90"/>
      <c r="N102" s="90"/>
      <c r="O102" s="90"/>
      <c r="P102" s="20"/>
    </row>
    <row r="103" spans="1:16">
      <c r="A103" s="90"/>
      <c r="B103" s="90"/>
      <c r="C103" s="90"/>
      <c r="D103" s="90"/>
      <c r="E103" s="90"/>
      <c r="F103" s="90"/>
      <c r="G103" s="90"/>
      <c r="H103" s="20"/>
      <c r="I103" s="90"/>
      <c r="J103" s="90"/>
      <c r="K103" s="90"/>
      <c r="L103" s="90"/>
      <c r="M103" s="90"/>
      <c r="N103" s="90"/>
      <c r="O103" s="90"/>
      <c r="P103" s="20"/>
    </row>
    <row r="104" spans="1:16">
      <c r="A104" s="90"/>
      <c r="B104" s="90"/>
      <c r="C104" s="90"/>
      <c r="D104" s="90"/>
      <c r="E104" s="90"/>
      <c r="F104" s="90"/>
      <c r="G104" s="90"/>
      <c r="H104" s="20"/>
      <c r="I104" s="90"/>
      <c r="J104" s="90"/>
      <c r="K104" s="90"/>
      <c r="L104" s="90"/>
      <c r="M104" s="90"/>
      <c r="N104" s="90"/>
      <c r="O104" s="90"/>
      <c r="P104" s="20"/>
    </row>
    <row r="105" spans="1:16">
      <c r="A105" s="90"/>
      <c r="B105" s="90"/>
      <c r="C105" s="90"/>
      <c r="D105" s="90"/>
      <c r="E105" s="90"/>
      <c r="F105" s="90"/>
      <c r="G105" s="90"/>
      <c r="H105" s="20"/>
      <c r="I105" s="90"/>
      <c r="J105" s="90"/>
      <c r="K105" s="90"/>
      <c r="L105" s="90"/>
      <c r="M105" s="90"/>
      <c r="N105" s="90"/>
      <c r="O105" s="90"/>
      <c r="P105" s="20"/>
    </row>
    <row r="106" spans="1:16">
      <c r="A106" s="90"/>
      <c r="B106" s="90"/>
      <c r="C106" s="90"/>
      <c r="D106" s="90"/>
      <c r="E106" s="90"/>
      <c r="F106" s="90"/>
      <c r="G106" s="90"/>
      <c r="H106" s="20"/>
      <c r="I106" s="90"/>
      <c r="J106" s="90"/>
      <c r="K106" s="90"/>
      <c r="L106" s="90"/>
      <c r="M106" s="90"/>
      <c r="N106" s="90"/>
      <c r="O106" s="90"/>
      <c r="P106" s="20"/>
    </row>
    <row r="107" spans="1:16">
      <c r="A107" s="90"/>
      <c r="B107" s="90"/>
      <c r="C107" s="90"/>
      <c r="D107" s="90"/>
      <c r="E107" s="90"/>
      <c r="F107" s="90"/>
      <c r="G107" s="90"/>
      <c r="H107" s="20"/>
      <c r="I107" s="90"/>
      <c r="J107" s="90"/>
      <c r="K107" s="90"/>
      <c r="L107" s="90"/>
      <c r="M107" s="90"/>
      <c r="N107" s="90"/>
      <c r="O107" s="90"/>
      <c r="P107" s="20"/>
    </row>
    <row r="108" spans="1:16">
      <c r="A108" s="90"/>
      <c r="B108" s="90"/>
      <c r="C108" s="90"/>
      <c r="D108" s="90"/>
      <c r="E108" s="90"/>
      <c r="F108" s="90"/>
      <c r="G108" s="90"/>
      <c r="H108" s="20"/>
      <c r="I108" s="90"/>
      <c r="J108" s="90"/>
      <c r="K108" s="90"/>
      <c r="L108" s="90"/>
      <c r="M108" s="90"/>
      <c r="N108" s="90"/>
      <c r="O108" s="90"/>
      <c r="P108" s="20"/>
    </row>
    <row r="109" spans="1:16">
      <c r="A109" s="90"/>
      <c r="B109" s="90"/>
      <c r="C109" s="90"/>
      <c r="D109" s="90"/>
      <c r="E109" s="90"/>
      <c r="F109" s="90"/>
      <c r="G109" s="90"/>
      <c r="H109" s="20"/>
      <c r="I109" s="90"/>
      <c r="J109" s="90"/>
      <c r="K109" s="90"/>
      <c r="L109" s="90"/>
      <c r="M109" s="90"/>
      <c r="N109" s="90"/>
      <c r="O109" s="90"/>
      <c r="P109" s="20"/>
    </row>
    <row r="110" spans="1:16">
      <c r="A110" s="90"/>
      <c r="B110" s="90"/>
      <c r="C110" s="90"/>
      <c r="D110" s="90"/>
      <c r="E110" s="90"/>
      <c r="F110" s="90"/>
      <c r="G110" s="90"/>
      <c r="H110" s="20"/>
      <c r="I110" s="90"/>
      <c r="J110" s="90"/>
      <c r="K110" s="90"/>
      <c r="L110" s="90"/>
      <c r="M110" s="90"/>
      <c r="N110" s="90"/>
      <c r="O110" s="90"/>
      <c r="P110" s="20"/>
    </row>
    <row r="111" spans="1:16">
      <c r="A111" s="90"/>
      <c r="B111" s="90"/>
      <c r="C111" s="90"/>
      <c r="D111" s="90"/>
      <c r="E111" s="90"/>
      <c r="F111" s="90"/>
      <c r="G111" s="90"/>
      <c r="H111" s="20"/>
      <c r="I111" s="90"/>
      <c r="J111" s="90"/>
      <c r="K111" s="90"/>
      <c r="L111" s="90"/>
      <c r="M111" s="90"/>
      <c r="N111" s="90"/>
      <c r="O111" s="90"/>
      <c r="P111" s="20"/>
    </row>
    <row r="112" spans="1:16">
      <c r="G112" s="90"/>
      <c r="H112" s="412"/>
      <c r="O112" s="90"/>
      <c r="P112" s="412"/>
    </row>
    <row r="113" spans="7:16">
      <c r="G113" s="90"/>
      <c r="H113" s="412"/>
      <c r="O113" s="90"/>
      <c r="P113" s="412"/>
    </row>
    <row r="114" spans="7:16">
      <c r="G114" s="90"/>
      <c r="H114" s="412"/>
      <c r="O114" s="90"/>
      <c r="P114" s="412"/>
    </row>
    <row r="115" spans="7:16">
      <c r="G115" s="90"/>
      <c r="H115" s="412"/>
      <c r="O115" s="90"/>
      <c r="P115" s="412"/>
    </row>
    <row r="116" spans="7:16">
      <c r="G116" s="90"/>
      <c r="H116" s="412"/>
      <c r="O116" s="90"/>
      <c r="P116" s="412"/>
    </row>
    <row r="117" spans="7:16">
      <c r="G117" s="90"/>
      <c r="H117" s="412"/>
      <c r="O117" s="90"/>
      <c r="P117" s="412"/>
    </row>
    <row r="118" spans="7:16">
      <c r="G118" s="90"/>
      <c r="H118" s="412"/>
      <c r="O118" s="90"/>
      <c r="P118" s="412"/>
    </row>
    <row r="119" spans="7:16">
      <c r="G119" s="90"/>
      <c r="H119" s="412"/>
      <c r="O119" s="90"/>
      <c r="P119" s="412"/>
    </row>
    <row r="120" spans="7:16">
      <c r="G120" s="90"/>
      <c r="H120" s="412"/>
      <c r="O120" s="90"/>
      <c r="P120" s="412"/>
    </row>
    <row r="121" spans="7:16">
      <c r="G121" s="90"/>
      <c r="H121" s="412"/>
      <c r="O121" s="90"/>
      <c r="P121" s="412"/>
    </row>
    <row r="122" spans="7:16">
      <c r="G122" s="90"/>
      <c r="H122" s="412"/>
      <c r="O122" s="90"/>
      <c r="P122" s="412"/>
    </row>
    <row r="123" spans="7:16">
      <c r="G123" s="90"/>
      <c r="H123" s="412"/>
      <c r="O123" s="90"/>
      <c r="P123" s="412"/>
    </row>
    <row r="124" spans="7:16">
      <c r="G124" s="90"/>
      <c r="H124" s="412"/>
      <c r="O124" s="90"/>
      <c r="P124" s="412"/>
    </row>
    <row r="125" spans="7:16">
      <c r="H125" s="412"/>
      <c r="P125" s="412"/>
    </row>
  </sheetData>
  <hyperlinks>
    <hyperlink ref="Q2" r:id="rId1"/>
    <hyperlink ref="B1" location="Cohort!A1" display="↗ Cohort"/>
    <hyperlink ref="A1" location="Navigation!B3" display="Navigation"/>
    <hyperlink ref="B12" location="'#2-32D'!A1" display="↘ #2-32D"/>
    <hyperlink ref="B21" location="'#3-32D'!A1" display="↘ #3-32D"/>
    <hyperlink ref="B30" location="'#4-32D'!A1" display="↘ #4-32D"/>
    <hyperlink ref="B48" location="'#6-32D'!A1" display="↘ #6-32D"/>
    <hyperlink ref="B39" location="'#5-32D'!A1" display="↘ #5-32D"/>
    <hyperlink ref="C1" location="O2k!B3" display="O2k"/>
    <hyperlink ref="Q1" r:id="rId2" display="http://www.bioblast.at/index.php/Mark_names_in_DatLab"/>
    <hyperlink ref="J1" location="'Cohort-439'!A1" display="↗ Cohort-439"/>
    <hyperlink ref="I1" location="Navigation!B3" display="Navigation"/>
    <hyperlink ref="J12" location="'# 2-439'!A1" display="↘ #2-439"/>
    <hyperlink ref="J21" location="'#3-439'!A1" display="↘ #3-439"/>
    <hyperlink ref="J30" location="'#4-439'!A1" display="↘ #4-439"/>
    <hyperlink ref="J48" location="'#6-439'!A1" display="↘ #6-439"/>
    <hyperlink ref="J39" location="'#5-439'!A1" display="↘ #5-439"/>
    <hyperlink ref="K1" location="O2k!B3" display="O2k"/>
    <hyperlink ref="J3" location="'#1-439'!A1" display="↘ #1-439"/>
    <hyperlink ref="B3" location="'#1-32D'!A1" display="↘ #1-32D"/>
    <hyperlink ref="F3" r:id="rId3"/>
    <hyperlink ref="F4" r:id="rId4"/>
    <hyperlink ref="F12" r:id="rId5"/>
    <hyperlink ref="F13" r:id="rId6"/>
    <hyperlink ref="F21" r:id="rId7"/>
    <hyperlink ref="N3" r:id="rId8"/>
    <hyperlink ref="N12" r:id="rId9"/>
    <hyperlink ref="N13" r:id="rId10"/>
    <hyperlink ref="A2" r:id="rId11" display="• OROBOROS O2k ↗2"/>
  </hyperlinks>
  <pageMargins left="0.7" right="0.7" top="0.78740157499999996" bottom="0.78740157499999996" header="0.3" footer="0.3"/>
  <pageSetup paperSize="9" orientation="portrait" r:id="rId12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227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35" priority="2" stopIfTrue="1">
      <formula>ISERROR(AQ3)</formula>
    </cfRule>
  </conditionalFormatting>
  <conditionalFormatting sqref="AS34:AV34">
    <cfRule type="containsErrors" dxfId="34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L40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6" width="12.664062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33.6640625" style="130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5" width="8.5546875" style="129" bestFit="1" customWidth="1"/>
    <col min="46" max="48" width="6.6640625" style="129" customWidth="1"/>
    <col min="49" max="49" width="20.109375" style="130" customWidth="1"/>
    <col min="50" max="50" width="7.88671875" style="130" customWidth="1"/>
    <col min="51" max="51" width="8.5546875" style="116" bestFit="1" customWidth="1"/>
    <col min="52" max="54" width="6.6640625" style="116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6640625" style="129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6640625" style="116" customWidth="1"/>
    <col min="75" max="75" width="7.6640625" style="116" customWidth="1"/>
    <col min="76" max="76" width="20.6640625" style="130" customWidth="1"/>
    <col min="77" max="77" width="13.6640625" style="130" customWidth="1"/>
    <col min="78" max="81" width="9.6640625" style="116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6640625" style="129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6640625" style="116" customWidth="1"/>
    <col min="96" max="96" width="7.6640625" style="116" customWidth="1"/>
    <col min="97" max="97" width="20.6640625" style="130" customWidth="1"/>
    <col min="98" max="98" width="13.6640625" style="130" customWidth="1"/>
    <col min="99" max="102" width="9.6640625" style="116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118</v>
      </c>
      <c r="B1" s="504"/>
      <c r="C1" s="342" t="s">
        <v>92</v>
      </c>
      <c r="D1" s="343">
        <f>E37</f>
        <v>2</v>
      </c>
      <c r="E1" s="319"/>
      <c r="F1" s="328" t="s">
        <v>178</v>
      </c>
      <c r="G1" s="326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0</v>
      </c>
      <c r="AA1" s="109">
        <f>$G$3</f>
        <v>0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181</v>
      </c>
      <c r="AN1" s="111" t="s">
        <v>25</v>
      </c>
      <c r="AO1" s="112" t="s">
        <v>26</v>
      </c>
      <c r="AP1" s="452">
        <f>$E$1</f>
        <v>0</v>
      </c>
      <c r="AQ1" s="113" t="s">
        <v>14</v>
      </c>
      <c r="AR1" s="113" t="s">
        <v>13</v>
      </c>
      <c r="AS1" s="506" t="str">
        <f>AJ1</f>
        <v>R</v>
      </c>
      <c r="AT1" s="31" t="str">
        <f>AK1</f>
        <v>1Omy</v>
      </c>
      <c r="AU1" s="32" t="str">
        <f>AL1</f>
        <v>2U</v>
      </c>
      <c r="AV1" s="33" t="str">
        <f t="shared" ref="AV1" si="0">AM1</f>
        <v>3Rot</v>
      </c>
      <c r="AW1" s="114" t="str">
        <f>AQ1</f>
        <v>Quantity</v>
      </c>
      <c r="AX1" s="114" t="str">
        <f>AR1</f>
        <v>Units</v>
      </c>
      <c r="AY1" s="506" t="str">
        <f>AJ1</f>
        <v>R</v>
      </c>
      <c r="AZ1" s="31" t="str">
        <f>AK1</f>
        <v>1Omy</v>
      </c>
      <c r="BA1" s="32" t="str">
        <f>AL1</f>
        <v>2U</v>
      </c>
      <c r="BB1" s="33" t="str">
        <f t="shared" ref="BB1" si="1">AM1</f>
        <v>3Rot</v>
      </c>
      <c r="BC1" s="115"/>
      <c r="BD1" s="34" t="s">
        <v>27</v>
      </c>
      <c r="BE1" s="34"/>
      <c r="BF1" s="35" t="s">
        <v>116</v>
      </c>
      <c r="BG1" s="452">
        <f>$E$1</f>
        <v>0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6" t="str">
        <f>AJ1</f>
        <v>R</v>
      </c>
      <c r="BM1" s="31" t="str">
        <f>AK1</f>
        <v>1Omy</v>
      </c>
      <c r="BN1" s="32" t="str">
        <f>AL1</f>
        <v>2U</v>
      </c>
      <c r="BO1" s="33" t="str">
        <f t="shared" ref="BO1" si="2">AM1</f>
        <v>3Rot</v>
      </c>
      <c r="BP1" s="452">
        <f>$E$1</f>
        <v>0</v>
      </c>
      <c r="BQ1" s="114" t="str">
        <f>AQ1</f>
        <v>Quantity</v>
      </c>
      <c r="BR1" s="114" t="str">
        <f>AR1</f>
        <v>Units</v>
      </c>
      <c r="BS1" s="506" t="str">
        <f>AJ1</f>
        <v>R</v>
      </c>
      <c r="BT1" s="31" t="str">
        <f>AK1</f>
        <v>1Omy</v>
      </c>
      <c r="BU1" s="32" t="str">
        <f>AL1</f>
        <v>2U</v>
      </c>
      <c r="BV1" s="33" t="str">
        <f t="shared" ref="BV1" si="3">AM1</f>
        <v>3Rot</v>
      </c>
      <c r="BW1" s="452">
        <f>$E$1</f>
        <v>0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0</v>
      </c>
      <c r="CE1" s="114" t="str">
        <f>AQ1</f>
        <v>Quantity</v>
      </c>
      <c r="CF1" s="114" t="str">
        <f>AR1</f>
        <v>Units</v>
      </c>
      <c r="CG1" s="506" t="str">
        <f>AJ1</f>
        <v>R</v>
      </c>
      <c r="CH1" s="31" t="str">
        <f>AK1</f>
        <v>1Omy</v>
      </c>
      <c r="CI1" s="32" t="str">
        <f>AL1</f>
        <v>2U</v>
      </c>
      <c r="CJ1" s="33" t="str">
        <f t="shared" ref="CJ1" si="4">AM1</f>
        <v>3Rot</v>
      </c>
      <c r="CK1" s="452">
        <f>$E$1</f>
        <v>0</v>
      </c>
      <c r="CL1" s="114" t="str">
        <f>AQ1</f>
        <v>Quantity</v>
      </c>
      <c r="CM1" s="114" t="str">
        <f>AR1</f>
        <v>Units</v>
      </c>
      <c r="CN1" s="506" t="str">
        <f>AJ1</f>
        <v>R</v>
      </c>
      <c r="CO1" s="31" t="str">
        <f>AK1</f>
        <v>1Omy</v>
      </c>
      <c r="CP1" s="32" t="str">
        <f>AL1</f>
        <v>2U</v>
      </c>
      <c r="CQ1" s="33" t="str">
        <f t="shared" ref="CQ1" si="5">AM1</f>
        <v>3Rot</v>
      </c>
      <c r="CR1" s="452">
        <f>$E$1</f>
        <v>0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0</v>
      </c>
    </row>
    <row r="2" spans="1:116" ht="14.4">
      <c r="A2" s="463" t="s">
        <v>67</v>
      </c>
      <c r="B2" s="344" t="s">
        <v>119</v>
      </c>
      <c r="C2" s="344" t="s">
        <v>93</v>
      </c>
      <c r="D2" s="340"/>
      <c r="E2" s="345" t="s">
        <v>46</v>
      </c>
      <c r="F2" s="434" t="s">
        <v>79</v>
      </c>
      <c r="G2" s="434" t="s">
        <v>15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118"/>
      <c r="AB2" s="118"/>
      <c r="AC2" s="118"/>
      <c r="AD2" s="118"/>
      <c r="AE2" s="118"/>
      <c r="AF2" s="333" t="s">
        <v>167</v>
      </c>
      <c r="AG2" s="333"/>
      <c r="AH2" s="333" t="str">
        <f>'#1-32D'!AH2</f>
        <v>O2 flow per cells</v>
      </c>
      <c r="AI2" s="333" t="str">
        <f>'#1-32D'!AI2</f>
        <v>pmol/(s*Mill)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533"/>
      <c r="BQ2" s="122"/>
      <c r="BR2" s="122"/>
      <c r="BS2" s="118"/>
      <c r="BT2" s="118"/>
      <c r="BU2" s="118"/>
      <c r="BV2" s="118"/>
      <c r="BW2" s="533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>
      <c r="A3" s="435"/>
      <c r="B3" s="337" t="str">
        <f t="shared" ref="B3:B20" si="6">IF(ISTEXT(BF3),BF3,"")</f>
        <v/>
      </c>
      <c r="C3" s="323" t="s">
        <v>90</v>
      </c>
      <c r="D3" s="462">
        <f t="shared" ref="D3:E21" si="7">IF(ISNUMBER(AO3),AO3,"")</f>
        <v>1</v>
      </c>
      <c r="E3" s="466">
        <f>IF(ISNUMBER(AP3),AP3,"")</f>
        <v>1</v>
      </c>
      <c r="F3" s="89"/>
      <c r="G3" s="472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320">
        <f>'#1-439'!AP34</f>
        <v>1</v>
      </c>
      <c r="AQ3" s="355" t="s">
        <v>5</v>
      </c>
      <c r="AR3" s="355" t="s">
        <v>4</v>
      </c>
      <c r="AS3" s="38">
        <f>IF(ISNUMBER('#1-439'!AS34),'#1-439'!AS34,"")</f>
        <v>34.294719040000004</v>
      </c>
      <c r="AT3" s="38">
        <f>IF(ISNUMBER('#1-439'!AT34),'#1-439'!AT34,"")</f>
        <v>9.0482272800000008</v>
      </c>
      <c r="AU3" s="38">
        <f>IF(ISNUMBER('#1-439'!AU34),'#1-439'!AU34,"")</f>
        <v>95.810405280000012</v>
      </c>
      <c r="AV3" s="38">
        <f>IF(ISNUMBER('#1-439'!AV34),'#1-439'!AV34,"")</f>
        <v>1.85456792</v>
      </c>
      <c r="AW3" s="502" t="s">
        <v>23</v>
      </c>
      <c r="AX3" s="503" t="s">
        <v>6</v>
      </c>
      <c r="AY3" s="353">
        <f>IF(ISNUMBER('#1-32D'!AY34),'#1-32D'!AY34,"")</f>
        <v>132.20035000000001</v>
      </c>
      <c r="AZ3" s="353">
        <f>IF(ISNUMBER('#1-32D'!AZ34),'#1-32D'!AZ34,"")</f>
        <v>125.92265</v>
      </c>
      <c r="BA3" s="353">
        <f>IF(ISNUMBER('#1-32D'!BA34),'#1-32D'!BA34,"")</f>
        <v>58.864699999999999</v>
      </c>
      <c r="BB3" s="353">
        <f>IF(ISNUMBER('#1-32D'!BB34),'#1-32D'!BB34,"")</f>
        <v>69.855499999999992</v>
      </c>
      <c r="BC3" s="140">
        <f>'#1-32D'!BC34</f>
        <v>0</v>
      </c>
      <c r="BD3" s="141"/>
      <c r="BE3" s="141"/>
      <c r="BF3" s="128">
        <f>'#1-439'!BF34</f>
        <v>0</v>
      </c>
      <c r="BG3" s="514" t="str">
        <f>'#1-439'!BG34</f>
        <v>Median</v>
      </c>
      <c r="BH3" s="350">
        <f>IF(ISNUMBER('#1-439'!BH34),'#1-439'!BH34,"")</f>
        <v>1</v>
      </c>
      <c r="BI3" s="351">
        <f>IF(ISNUMBER('#1-439'!BI34),'#1-439'!BI34,"")</f>
        <v>2</v>
      </c>
      <c r="BJ3" s="512" t="str">
        <f>$AH$2</f>
        <v>O2 flow per cells</v>
      </c>
      <c r="BK3" s="512" t="str">
        <f>$AI$2</f>
        <v>pmol/(s*Mill)</v>
      </c>
      <c r="BL3" s="38">
        <f>IF(ISNUMBER('#1-439'!BL34),'#1-439'!BL34,"")</f>
        <v>34.294719040000004</v>
      </c>
      <c r="BM3" s="38">
        <f>IF(ISNUMBER('#1-439'!BM34),'#1-439'!BM34,"")</f>
        <v>9.0527536568284148</v>
      </c>
      <c r="BN3" s="38">
        <f>IF(ISNUMBER('#1-439'!BN34),'#1-439'!BN34,"")</f>
        <v>95.930318177722157</v>
      </c>
      <c r="BO3" s="38">
        <f>IF(ISNUMBER('#1-439'!BO34),'#1-439'!BO34,"")</f>
        <v>1.8587501077424204</v>
      </c>
      <c r="BP3" s="359">
        <f>'#1-32D'!BP34</f>
        <v>1</v>
      </c>
      <c r="BQ3" s="357" t="s">
        <v>19</v>
      </c>
      <c r="BR3" s="357" t="s">
        <v>20</v>
      </c>
      <c r="BS3" s="352">
        <f>IF(ISNUMBER('#1-439'!BS34),'#1-439'!BS34,"")</f>
        <v>0.35749614607203761</v>
      </c>
      <c r="BT3" s="352">
        <f>IF(ISNUMBER('#1-439'!BT34),'#1-439'!BT34,"")</f>
        <v>9.4368014500453623E-2</v>
      </c>
      <c r="BU3" s="352">
        <f>IF(ISNUMBER('#1-439'!BU34),'#1-439'!BU34,"")</f>
        <v>1</v>
      </c>
      <c r="BV3" s="352">
        <f>IF(ISNUMBER('#1-439'!BV34),'#1-439'!BV34,"")</f>
        <v>1.9376044435700381E-2</v>
      </c>
      <c r="BW3" s="359">
        <f>'#1-32D'!BW34</f>
        <v>1</v>
      </c>
      <c r="BX3" s="357" t="s">
        <v>18</v>
      </c>
      <c r="BY3" s="357" t="s">
        <v>21</v>
      </c>
      <c r="BZ3" s="352">
        <f>IF(ISNUMBER('#1-439'!BZ34),'#1-439'!BZ34,"")</f>
        <v>0.64250385392796239</v>
      </c>
      <c r="CA3" s="352">
        <f>IF(ISNUMBER('#1-439'!CA34),'#1-439'!CA34,"")</f>
        <v>0.73603068022602425</v>
      </c>
      <c r="CB3" s="352">
        <f>IF(ISNUMBER('#1-439'!CB34),'#1-439'!CB34,"")</f>
        <v>0.90563198549954638</v>
      </c>
      <c r="CC3" s="352">
        <f>IF(ISNUMBER('#1-439'!CC34),'#1-439'!CC34,"")</f>
        <v>0.9806239555642996</v>
      </c>
      <c r="CD3" s="535">
        <f>'#1-32D'!CD34</f>
        <v>1</v>
      </c>
      <c r="CE3" s="512" t="str">
        <f>$AH$3</f>
        <v>O2 flow per cells (mt: ROX-corr.)</v>
      </c>
      <c r="CF3" s="512" t="str">
        <f>$AI$2</f>
        <v>pmol/(s*Mill)</v>
      </c>
      <c r="CG3" s="534">
        <f>IF(ISNUMBER('#1-439'!CG34),'#1-439'!CG34,"")</f>
        <v>32.43596893225758</v>
      </c>
      <c r="CH3" s="534">
        <f>IF(ISNUMBER('#1-439'!CH34),'#1-439'!CH34,"")</f>
        <v>7.1940035490859948</v>
      </c>
      <c r="CI3" s="534">
        <f>IF(ISNUMBER('#1-439'!CI34),'#1-439'!CI34,"")</f>
        <v>94.071568069979733</v>
      </c>
      <c r="CJ3" s="534">
        <f>IF(ISNUMBER('#1-439'!CJ34),'#1-439'!CJ34,"")</f>
        <v>0</v>
      </c>
      <c r="CK3" s="359">
        <f>'#1-32D'!CK34</f>
        <v>1</v>
      </c>
      <c r="CL3" s="357" t="s">
        <v>170</v>
      </c>
      <c r="CM3" s="357" t="s">
        <v>1</v>
      </c>
      <c r="CN3" s="352">
        <f>IF(ISNUMBER('#1-439'!CN34),'#1-439'!CN34,"")</f>
        <v>0.3448009807610361</v>
      </c>
      <c r="CO3" s="352">
        <f>IF(ISNUMBER('#1-439'!CO34),'#1-439'!CO34,"")</f>
        <v>7.647372842487736E-2</v>
      </c>
      <c r="CP3" s="352">
        <f>IF(ISNUMBER('#1-439'!CP34),'#1-439'!CP34,"")</f>
        <v>1</v>
      </c>
      <c r="CQ3" s="352">
        <f>IF(ISNUMBER('#1-439'!CQ34),'#1-439'!CQ34,"")</f>
        <v>0</v>
      </c>
      <c r="CR3" s="359">
        <f>'#1-32D'!CR34</f>
        <v>1</v>
      </c>
      <c r="CS3" s="357" t="s">
        <v>171</v>
      </c>
      <c r="CT3" s="357" t="s">
        <v>1</v>
      </c>
      <c r="CU3" s="352">
        <f>IF(ISNUMBER('#1-439'!CU34),'#1-439'!CU34,"")</f>
        <v>0.65519901923896384</v>
      </c>
      <c r="CV3" s="352">
        <f>IF(ISNUMBER('#1-439'!CV34),'#1-439'!CV34,"")</f>
        <v>0.77820907511316684</v>
      </c>
      <c r="CW3" s="352">
        <f>IF(ISNUMBER('#1-439'!CW34),'#1-439'!CW34,"")</f>
        <v>0.92352627157512268</v>
      </c>
      <c r="CX3" s="352">
        <f>IF(ISNUMBER('#1-439'!CX34),'#1-439'!CX34,"")</f>
        <v>1</v>
      </c>
      <c r="CY3" s="359">
        <f>'#1-32D'!CY34</f>
        <v>1</v>
      </c>
    </row>
    <row r="4" spans="1:116">
      <c r="A4" s="435"/>
      <c r="B4" s="337" t="str">
        <f>IF(ISTEXT(BF4),BF4,"")</f>
        <v/>
      </c>
      <c r="C4" s="323" t="s">
        <v>90</v>
      </c>
      <c r="D4" s="462">
        <f t="shared" si="7"/>
        <v>2</v>
      </c>
      <c r="E4" s="466">
        <f t="shared" si="7"/>
        <v>2</v>
      </c>
      <c r="F4" s="89"/>
      <c r="G4" s="469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J4" s="130"/>
      <c r="AK4" s="130"/>
      <c r="AL4" s="130"/>
      <c r="AM4" s="127"/>
      <c r="AN4" s="136">
        <f t="shared" ref="AN4:AN32" si="8">AN3+20</f>
        <v>71</v>
      </c>
      <c r="AO4" s="137">
        <v>2</v>
      </c>
      <c r="AP4" s="320">
        <f>'#2-439'!AP34</f>
        <v>2</v>
      </c>
      <c r="AQ4" s="355" t="s">
        <v>5</v>
      </c>
      <c r="AR4" s="355" t="s">
        <v>4</v>
      </c>
      <c r="AS4" s="38">
        <f>IF(ISNUMBER('#2-439'!AS34),'#2-439'!AS34,"")</f>
        <v>31.001804880000002</v>
      </c>
      <c r="AT4" s="38">
        <f>IF(ISNUMBER('#2-439'!AT34),'#2-439'!AT34,"")</f>
        <v>10.521182599999999</v>
      </c>
      <c r="AU4" s="38">
        <f>IF(ISNUMBER('#2-439'!AU34),'#2-439'!AU34,"")</f>
        <v>81.539807679999996</v>
      </c>
      <c r="AV4" s="38">
        <f>IF(ISNUMBER('#2-439'!AV34),'#2-439'!AV34,"")</f>
        <v>1.41871152</v>
      </c>
      <c r="AW4" s="502" t="s">
        <v>23</v>
      </c>
      <c r="AX4" s="502" t="s">
        <v>6</v>
      </c>
      <c r="AY4" s="353">
        <f>IF(ISNUMBER('#2-439'!AY34),'#2-439'!AY34,"")</f>
        <v>120.21375</v>
      </c>
      <c r="AZ4" s="353">
        <f>IF(ISNUMBER('#2-439'!AZ34),'#2-439'!AZ34,"")</f>
        <v>112.30455000000001</v>
      </c>
      <c r="BA4" s="353">
        <f>IF(ISNUMBER('#2-439'!BA34),'#2-439'!BA34,"")</f>
        <v>85.025949999999995</v>
      </c>
      <c r="BB4" s="353">
        <f>IF(ISNUMBER('#2-439'!BB34),'#2-439'!BB34,"")</f>
        <v>33.765699999999995</v>
      </c>
      <c r="BC4" s="140" t="e">
        <f>#REF!</f>
        <v>#REF!</v>
      </c>
      <c r="BD4" s="141"/>
      <c r="BE4" s="141"/>
      <c r="BF4" s="128">
        <f>'#2-439'!BF34</f>
        <v>0</v>
      </c>
      <c r="BG4" s="514" t="str">
        <f>'#2-439'!BG34</f>
        <v>Median</v>
      </c>
      <c r="BH4" s="350">
        <f>IF(ISNUMBER('#2-439'!BH34),'#2-439'!BH34,"")</f>
        <v>2</v>
      </c>
      <c r="BI4" s="351">
        <f>IF(ISNUMBER('#2-439'!BI34),'#2-439'!BI34,"")</f>
        <v>2.8</v>
      </c>
      <c r="BJ4" s="512" t="str">
        <f t="shared" ref="BJ4:BJ8" si="9">$AH$2</f>
        <v>O2 flow per cells</v>
      </c>
      <c r="BK4" s="512" t="str">
        <f t="shared" ref="BK4:BK8" si="10">$AI$2</f>
        <v>pmol/(s*Mill)</v>
      </c>
      <c r="BL4" s="38">
        <f>IF(ISNUMBER('#2-439'!BL34),'#2-439'!BL34,"")</f>
        <v>22.144146342857145</v>
      </c>
      <c r="BM4" s="38">
        <f>IF(ISNUMBER('#2-439'!BM34),'#2-439'!BM34,"")</f>
        <v>7.5188898735081828</v>
      </c>
      <c r="BN4" s="38">
        <f>IF(ISNUMBER('#2-439'!BN34),'#2-439'!BN34,"")</f>
        <v>58.319770588853359</v>
      </c>
      <c r="BO4" s="38">
        <f>IF(ISNUMBER('#2-439'!BO34),'#2-439'!BO34,"")</f>
        <v>1.0157717559634623</v>
      </c>
      <c r="BP4" s="359">
        <f>'#2-439'!BP34</f>
        <v>2</v>
      </c>
      <c r="BQ4" s="357" t="s">
        <v>19</v>
      </c>
      <c r="BR4" s="357" t="s">
        <v>20</v>
      </c>
      <c r="BS4" s="297">
        <f>IF(ISNUMBER('#2-439'!BS34),'#2-439'!BS34,"")</f>
        <v>0.38058319664646317</v>
      </c>
      <c r="BT4" s="297">
        <f>IF(ISNUMBER('#2-439'!BT34),'#2-439'!BT34,"")</f>
        <v>0.12982622756492793</v>
      </c>
      <c r="BU4" s="297">
        <f>IF(ISNUMBER('#2-439'!BU34),'#2-439'!BU34,"")</f>
        <v>1</v>
      </c>
      <c r="BV4" s="297">
        <f>IF(ISNUMBER('#2-439'!BV34),'#2-439'!BV34,"")</f>
        <v>1.7984894950613357E-2</v>
      </c>
      <c r="BW4" s="359">
        <f>'#2-439'!BW34</f>
        <v>2</v>
      </c>
      <c r="BX4" s="357" t="s">
        <v>18</v>
      </c>
      <c r="BY4" s="357" t="s">
        <v>21</v>
      </c>
      <c r="BZ4" s="297">
        <f>IF(ISNUMBER('#2-439'!BZ34),'#2-439'!BZ34,"")</f>
        <v>0.61941680335353688</v>
      </c>
      <c r="CA4" s="297">
        <f>IF(ISNUMBER('#2-439'!CA34),'#2-439'!CA34,"")</f>
        <v>0.66028509562602067</v>
      </c>
      <c r="CB4" s="297">
        <f>IF(ISNUMBER('#2-439'!CB34),'#2-439'!CB34,"")</f>
        <v>0.8701737724350721</v>
      </c>
      <c r="CC4" s="297">
        <f>IF(ISNUMBER('#2-439'!CC34),'#2-439'!CC34,"")</f>
        <v>0.98201510504938661</v>
      </c>
      <c r="CD4" s="535">
        <f>'#2-439'!CD34</f>
        <v>2</v>
      </c>
      <c r="CE4" s="512" t="str">
        <f t="shared" ref="CE4:CE8" si="11">$AH$3</f>
        <v>O2 flow per cells (mt: ROX-corr.)</v>
      </c>
      <c r="CF4" s="512" t="str">
        <f t="shared" ref="CF4:CF8" si="12">$AI$2</f>
        <v>pmol/(s*Mill)</v>
      </c>
      <c r="CG4" s="532">
        <f>IF(ISNUMBER('#2-439'!CG34),'#2-439'!CG34,"")</f>
        <v>21.128374586893685</v>
      </c>
      <c r="CH4" s="532">
        <f>IF(ISNUMBER('#2-439'!CH34),'#2-439'!CH34,"")</f>
        <v>6.5031181175447204</v>
      </c>
      <c r="CI4" s="532">
        <f>IF(ISNUMBER('#2-439'!CI34),'#2-439'!CI34,"")</f>
        <v>57.303998832889903</v>
      </c>
      <c r="CJ4" s="532">
        <f>IF(ISNUMBER('#2-439'!CJ34),'#2-439'!CJ34,"")</f>
        <v>0</v>
      </c>
      <c r="CK4" s="359">
        <f>'#2-439'!CK34</f>
        <v>2</v>
      </c>
      <c r="CL4" s="357" t="s">
        <v>170</v>
      </c>
      <c r="CM4" s="357" t="s">
        <v>1</v>
      </c>
      <c r="CN4" s="297">
        <f>IF(ISNUMBER('#2-439'!CN34),'#2-439'!CN34,"")</f>
        <v>0.36935758976139332</v>
      </c>
      <c r="CO4" s="297">
        <f>IF(ISNUMBER('#2-439'!CO34),'#2-439'!CO34,"")</f>
        <v>0.11397986652504755</v>
      </c>
      <c r="CP4" s="297">
        <f>IF(ISNUMBER('#2-439'!CP34),'#2-439'!CP34,"")</f>
        <v>1</v>
      </c>
      <c r="CQ4" s="297">
        <f>IF(ISNUMBER('#2-439'!CQ34),'#2-439'!CQ34,"")</f>
        <v>0</v>
      </c>
      <c r="CR4" s="359">
        <f>'#2-439'!CR34</f>
        <v>2</v>
      </c>
      <c r="CS4" s="357" t="s">
        <v>171</v>
      </c>
      <c r="CT4" s="357" t="s">
        <v>1</v>
      </c>
      <c r="CU4" s="297">
        <f>IF(ISNUMBER('#2-439'!CU34),'#2-439'!CU34,"")</f>
        <v>0.63064241023860679</v>
      </c>
      <c r="CV4" s="297">
        <f>IF(ISNUMBER('#2-439'!CV34),'#2-439'!CV34,"")</f>
        <v>0.69177319141211246</v>
      </c>
      <c r="CW4" s="297">
        <f>IF(ISNUMBER('#2-439'!CW34),'#2-439'!CW34,"")</f>
        <v>0.88602013347495245</v>
      </c>
      <c r="CX4" s="297">
        <f>IF(ISNUMBER('#2-439'!CX34),'#2-439'!CX34,"")</f>
        <v>1</v>
      </c>
      <c r="CY4" s="359">
        <f>'#2-439'!CY34</f>
        <v>2</v>
      </c>
    </row>
    <row r="5" spans="1:116">
      <c r="A5" s="435"/>
      <c r="B5" s="337" t="str">
        <f t="shared" si="6"/>
        <v/>
      </c>
      <c r="C5" s="323" t="s">
        <v>90</v>
      </c>
      <c r="D5" s="462">
        <f t="shared" si="7"/>
        <v>3</v>
      </c>
      <c r="E5" s="466" t="str">
        <f t="shared" si="7"/>
        <v/>
      </c>
      <c r="F5" s="89"/>
      <c r="G5" s="470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H5" s="127"/>
      <c r="AJ5" s="130"/>
      <c r="AK5" s="130"/>
      <c r="AL5" s="130"/>
      <c r="AM5" s="127"/>
      <c r="AN5" s="136">
        <f t="shared" si="8"/>
        <v>91</v>
      </c>
      <c r="AO5" s="137">
        <v>3</v>
      </c>
      <c r="AP5" s="320" t="str">
        <f>'#3-439'!AP34</f>
        <v/>
      </c>
      <c r="AQ5" s="355" t="s">
        <v>5</v>
      </c>
      <c r="AR5" s="355" t="s">
        <v>4</v>
      </c>
      <c r="AS5" s="38" t="str">
        <f>IF(ISNUMBER('#3-439'!AS34),'#3-439'!AS34,"")</f>
        <v/>
      </c>
      <c r="AT5" s="38" t="str">
        <f>IF(ISNUMBER('#3-439'!AT34),'#3-439'!AT34,"")</f>
        <v/>
      </c>
      <c r="AU5" s="38" t="str">
        <f>IF(ISNUMBER('#3-439'!AU34),'#3-439'!AU34,"")</f>
        <v/>
      </c>
      <c r="AV5" s="38" t="str">
        <f>IF(ISNUMBER('#3-439'!AV34),'#3-439'!AV34,"")</f>
        <v/>
      </c>
      <c r="AW5" s="502" t="s">
        <v>23</v>
      </c>
      <c r="AX5" s="502" t="s">
        <v>6</v>
      </c>
      <c r="AY5" s="353" t="str">
        <f>IF(ISNUMBER('#3-439'!AY34),'#3-439'!AY34,"")</f>
        <v/>
      </c>
      <c r="AZ5" s="353" t="str">
        <f>IF(ISNUMBER('#3-439'!AZ34),'#3-439'!AZ34,"")</f>
        <v/>
      </c>
      <c r="BA5" s="353" t="str">
        <f>IF(ISNUMBER('#3-439'!BA34),'#3-439'!BA34,"")</f>
        <v/>
      </c>
      <c r="BB5" s="353" t="str">
        <f>IF(ISNUMBER('#3-439'!BB34),'#3-439'!BB34,"")</f>
        <v/>
      </c>
      <c r="BC5" s="140" t="e">
        <f>#REF!</f>
        <v>#REF!</v>
      </c>
      <c r="BD5" s="141"/>
      <c r="BE5" s="141"/>
      <c r="BF5" s="128">
        <f>'#3-439'!BF34</f>
        <v>0</v>
      </c>
      <c r="BG5" s="514" t="str">
        <f>'#3-439'!BG34</f>
        <v>Median</v>
      </c>
      <c r="BH5" s="350">
        <f>IF(ISNUMBER('#3-439'!BH34),'#3-439'!BH34,"")</f>
        <v>0</v>
      </c>
      <c r="BI5" s="351" t="str">
        <f>IF(ISNUMBER('#3-439'!BI34),'#3-439'!BI34,"")</f>
        <v/>
      </c>
      <c r="BJ5" s="512" t="str">
        <f t="shared" si="9"/>
        <v>O2 flow per cells</v>
      </c>
      <c r="BK5" s="512" t="str">
        <f t="shared" si="10"/>
        <v>pmol/(s*Mill)</v>
      </c>
      <c r="BL5" s="38" t="str">
        <f>IF(ISNUMBER('#3-439'!BL34),'#3-439'!BL34,"")</f>
        <v/>
      </c>
      <c r="BM5" s="38" t="str">
        <f>IF(ISNUMBER('#3-439'!BM34),'#3-439'!BM34,"")</f>
        <v/>
      </c>
      <c r="BN5" s="38" t="str">
        <f>IF(ISNUMBER('#3-439'!BN34),'#3-439'!BN34,"")</f>
        <v/>
      </c>
      <c r="BO5" s="38" t="str">
        <f>IF(ISNUMBER('#3-439'!BO34),'#3-439'!BO34,"")</f>
        <v/>
      </c>
      <c r="BP5" s="359" t="str">
        <f>'#3-439'!BP34</f>
        <v/>
      </c>
      <c r="BQ5" s="357" t="s">
        <v>19</v>
      </c>
      <c r="BR5" s="357" t="s">
        <v>20</v>
      </c>
      <c r="BS5" s="297" t="str">
        <f>IF(ISNUMBER('#3-439'!BS34),'#3-439'!BS34,"")</f>
        <v/>
      </c>
      <c r="BT5" s="297" t="str">
        <f>IF(ISNUMBER('#3-439'!BT34),'#3-439'!BT34,"")</f>
        <v/>
      </c>
      <c r="BU5" s="297" t="str">
        <f>IF(ISNUMBER('#3-439'!BU34),'#3-439'!BU34,"")</f>
        <v/>
      </c>
      <c r="BV5" s="297" t="str">
        <f>IF(ISNUMBER('#3-439'!BV34),'#3-439'!BV34,"")</f>
        <v/>
      </c>
      <c r="BW5" s="359" t="str">
        <f>'#3-439'!BW34</f>
        <v/>
      </c>
      <c r="BX5" s="357" t="s">
        <v>18</v>
      </c>
      <c r="BY5" s="357" t="s">
        <v>21</v>
      </c>
      <c r="BZ5" s="297" t="str">
        <f>IF(ISNUMBER('#3-439'!BZ34),'#3-439'!BZ34,"")</f>
        <v/>
      </c>
      <c r="CA5" s="297" t="str">
        <f>IF(ISNUMBER('#3-439'!CA34),'#3-439'!CA34,"")</f>
        <v/>
      </c>
      <c r="CB5" s="297" t="str">
        <f>IF(ISNUMBER('#3-439'!CB34),'#3-439'!CB34,"")</f>
        <v/>
      </c>
      <c r="CC5" s="297" t="str">
        <f>IF(ISNUMBER('#3-439'!CC34),'#3-439'!CC34,"")</f>
        <v/>
      </c>
      <c r="CD5" s="535" t="str">
        <f>'#3-439'!CD34</f>
        <v/>
      </c>
      <c r="CE5" s="512" t="str">
        <f t="shared" si="11"/>
        <v>O2 flow per cells (mt: ROX-corr.)</v>
      </c>
      <c r="CF5" s="512" t="str">
        <f t="shared" si="12"/>
        <v>pmol/(s*Mill)</v>
      </c>
      <c r="CG5" s="532" t="str">
        <f>IF(ISNUMBER('#3-439'!CG34),'#3-439'!CG34,"")</f>
        <v/>
      </c>
      <c r="CH5" s="532" t="str">
        <f>IF(ISNUMBER('#3-439'!CH34),'#3-439'!CH34,"")</f>
        <v/>
      </c>
      <c r="CI5" s="532" t="str">
        <f>IF(ISNUMBER('#3-439'!CI34),'#3-439'!CI34,"")</f>
        <v/>
      </c>
      <c r="CJ5" s="532" t="str">
        <f>IF(ISNUMBER('#3-439'!CJ34),'#3-439'!CJ34,"")</f>
        <v/>
      </c>
      <c r="CK5" s="359" t="str">
        <f>'#3-439'!CK34</f>
        <v/>
      </c>
      <c r="CL5" s="357" t="s">
        <v>170</v>
      </c>
      <c r="CM5" s="357" t="s">
        <v>1</v>
      </c>
      <c r="CN5" s="297" t="str">
        <f>IF(ISNUMBER('#3-439'!CN34),'#3-439'!CN34,"")</f>
        <v/>
      </c>
      <c r="CO5" s="297" t="str">
        <f>IF(ISNUMBER('#3-439'!CO34),'#3-439'!CO34,"")</f>
        <v/>
      </c>
      <c r="CP5" s="297" t="str">
        <f>IF(ISNUMBER('#3-439'!CP34),'#3-439'!CP34,"")</f>
        <v/>
      </c>
      <c r="CQ5" s="297" t="str">
        <f>IF(ISNUMBER('#3-439'!CQ34),'#3-439'!CQ34,"")</f>
        <v/>
      </c>
      <c r="CR5" s="359" t="str">
        <f>'#3-439'!CR34</f>
        <v/>
      </c>
      <c r="CS5" s="357" t="s">
        <v>171</v>
      </c>
      <c r="CT5" s="357" t="s">
        <v>1</v>
      </c>
      <c r="CU5" s="297" t="str">
        <f>IF(ISNUMBER('#3-439'!CU34),'#3-439'!CU34,"")</f>
        <v/>
      </c>
      <c r="CV5" s="297" t="str">
        <f>IF(ISNUMBER('#3-439'!CV34),'#3-439'!CV34,"")</f>
        <v/>
      </c>
      <c r="CW5" s="297" t="str">
        <f>IF(ISNUMBER('#3-439'!CW34),'#3-439'!CW34,"")</f>
        <v/>
      </c>
      <c r="CX5" s="297" t="str">
        <f>IF(ISNUMBER('#3-439'!CX34),'#3-439'!CX34,"")</f>
        <v/>
      </c>
      <c r="CY5" s="359" t="str">
        <f>'#3-439'!CY34</f>
        <v/>
      </c>
    </row>
    <row r="6" spans="1:116">
      <c r="A6" s="435"/>
      <c r="B6" s="337" t="str">
        <f t="shared" si="6"/>
        <v/>
      </c>
      <c r="C6" s="323" t="s">
        <v>90</v>
      </c>
      <c r="D6" s="462">
        <f t="shared" si="7"/>
        <v>4</v>
      </c>
      <c r="E6" s="466" t="str">
        <f t="shared" si="7"/>
        <v/>
      </c>
      <c r="F6" s="89"/>
      <c r="G6" s="471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J6" s="130"/>
      <c r="AK6" s="130"/>
      <c r="AL6" s="130"/>
      <c r="AM6" s="127"/>
      <c r="AN6" s="136">
        <f t="shared" si="8"/>
        <v>111</v>
      </c>
      <c r="AO6" s="137">
        <v>4</v>
      </c>
      <c r="AP6" s="320" t="str">
        <f>'#4-439'!AP34</f>
        <v/>
      </c>
      <c r="AQ6" s="355" t="s">
        <v>5</v>
      </c>
      <c r="AR6" s="355" t="s">
        <v>4</v>
      </c>
      <c r="AS6" s="38" t="str">
        <f>IF(ISNUMBER('#4-439'!AS34),'#4-439'!AS34,"")</f>
        <v/>
      </c>
      <c r="AT6" s="38" t="str">
        <f>IF(ISNUMBER('#4-439'!AT34),'#4-439'!AT34,"")</f>
        <v/>
      </c>
      <c r="AU6" s="38" t="str">
        <f>IF(ISNUMBER('#4-439'!AU34),'#4-439'!AU34,"")</f>
        <v/>
      </c>
      <c r="AV6" s="38" t="str">
        <f>IF(ISNUMBER('#4-439'!AV34),'#4-439'!AV34,"")</f>
        <v/>
      </c>
      <c r="AW6" s="502" t="s">
        <v>23</v>
      </c>
      <c r="AX6" s="502" t="s">
        <v>6</v>
      </c>
      <c r="AY6" s="353" t="str">
        <f>IF(ISNUMBER('#4-439'!AY34),'#4-439'!AY34,"")</f>
        <v/>
      </c>
      <c r="AZ6" s="353" t="str">
        <f>IF(ISNUMBER('#4-439'!AZ34),'#4-439'!AZ34,"")</f>
        <v/>
      </c>
      <c r="BA6" s="353" t="str">
        <f>IF(ISNUMBER('#4-439'!BA34),'#4-439'!BA34,"")</f>
        <v/>
      </c>
      <c r="BB6" s="353" t="str">
        <f>IF(ISNUMBER('#4-439'!BB34),'#4-439'!BB34,"")</f>
        <v/>
      </c>
      <c r="BC6" s="140" t="e">
        <f>#REF!</f>
        <v>#REF!</v>
      </c>
      <c r="BD6" s="141"/>
      <c r="BE6" s="141"/>
      <c r="BF6" s="128">
        <f>'#4-439'!BF34</f>
        <v>0</v>
      </c>
      <c r="BG6" s="514" t="str">
        <f>'#4-439'!BG34</f>
        <v>Median</v>
      </c>
      <c r="BH6" s="350">
        <f>IF(ISNUMBER('#4-439'!BH34),'#4-439'!BH34,"")</f>
        <v>0</v>
      </c>
      <c r="BI6" s="351" t="str">
        <f>IF(ISNUMBER('#4-439'!BI34),'#4-439'!BI34,"")</f>
        <v/>
      </c>
      <c r="BJ6" s="512" t="str">
        <f t="shared" si="9"/>
        <v>O2 flow per cells</v>
      </c>
      <c r="BK6" s="512" t="str">
        <f t="shared" si="10"/>
        <v>pmol/(s*Mill)</v>
      </c>
      <c r="BL6" s="38" t="str">
        <f>IF(ISNUMBER('#4-439'!BL34),'#4-439'!BL34,"")</f>
        <v/>
      </c>
      <c r="BM6" s="38" t="str">
        <f>IF(ISNUMBER('#4-439'!BM34),'#4-439'!BM34,"")</f>
        <v/>
      </c>
      <c r="BN6" s="38" t="str">
        <f>IF(ISNUMBER('#4-439'!BN34),'#4-439'!BN34,"")</f>
        <v/>
      </c>
      <c r="BO6" s="38" t="str">
        <f>IF(ISNUMBER('#4-439'!BO34),'#4-439'!BO34,"")</f>
        <v/>
      </c>
      <c r="BP6" s="359" t="str">
        <f>'#4-439'!BP34</f>
        <v/>
      </c>
      <c r="BQ6" s="357" t="s">
        <v>19</v>
      </c>
      <c r="BR6" s="357" t="s">
        <v>20</v>
      </c>
      <c r="BS6" s="297" t="str">
        <f>IF(ISNUMBER('#4-439'!BS34),'#4-439'!BS34,"")</f>
        <v/>
      </c>
      <c r="BT6" s="297" t="str">
        <f>IF(ISNUMBER('#4-439'!BT34),'#4-439'!BT34,"")</f>
        <v/>
      </c>
      <c r="BU6" s="297" t="str">
        <f>IF(ISNUMBER('#4-439'!BU34),'#4-439'!BU34,"")</f>
        <v/>
      </c>
      <c r="BV6" s="297" t="str">
        <f>IF(ISNUMBER('#4-439'!BV34),'#4-439'!BV34,"")</f>
        <v/>
      </c>
      <c r="BW6" s="359" t="str">
        <f>'#4-439'!BW34</f>
        <v/>
      </c>
      <c r="BX6" s="357" t="s">
        <v>18</v>
      </c>
      <c r="BY6" s="357" t="s">
        <v>21</v>
      </c>
      <c r="BZ6" s="297" t="str">
        <f>IF(ISNUMBER('#4-439'!BZ34),'#4-439'!BZ34,"")</f>
        <v/>
      </c>
      <c r="CA6" s="297" t="str">
        <f>IF(ISNUMBER('#4-439'!CA34),'#4-439'!CA34,"")</f>
        <v/>
      </c>
      <c r="CB6" s="297" t="str">
        <f>IF(ISNUMBER('#4-439'!CB34),'#4-439'!CB34,"")</f>
        <v/>
      </c>
      <c r="CC6" s="297" t="str">
        <f>IF(ISNUMBER('#4-439'!CC34),'#4-439'!CC34,"")</f>
        <v/>
      </c>
      <c r="CD6" s="535" t="str">
        <f>'#4-439'!CD34</f>
        <v/>
      </c>
      <c r="CE6" s="512" t="str">
        <f t="shared" si="11"/>
        <v>O2 flow per cells (mt: ROX-corr.)</v>
      </c>
      <c r="CF6" s="512" t="str">
        <f t="shared" si="12"/>
        <v>pmol/(s*Mill)</v>
      </c>
      <c r="CG6" s="532" t="str">
        <f>IF(ISNUMBER('#4-439'!CG34),'#4-439'!CG34,"")</f>
        <v/>
      </c>
      <c r="CH6" s="532" t="str">
        <f>IF(ISNUMBER('#4-439'!CH34),'#4-439'!CH34,"")</f>
        <v/>
      </c>
      <c r="CI6" s="532" t="str">
        <f>IF(ISNUMBER('#4-439'!CI34),'#4-439'!CI34,"")</f>
        <v/>
      </c>
      <c r="CJ6" s="532" t="str">
        <f>IF(ISNUMBER('#4-439'!CJ34),'#4-439'!CJ34,"")</f>
        <v/>
      </c>
      <c r="CK6" s="359" t="str">
        <f>'#4-439'!CK34</f>
        <v/>
      </c>
      <c r="CL6" s="357" t="s">
        <v>170</v>
      </c>
      <c r="CM6" s="357" t="s">
        <v>1</v>
      </c>
      <c r="CN6" s="297" t="str">
        <f>IF(ISNUMBER('#4-439'!CN34),'#4-439'!CN34,"")</f>
        <v/>
      </c>
      <c r="CO6" s="297" t="str">
        <f>IF(ISNUMBER('#4-439'!CO34),'#4-439'!CO34,"")</f>
        <v/>
      </c>
      <c r="CP6" s="297" t="str">
        <f>IF(ISNUMBER('#4-439'!CP34),'#4-439'!CP34,"")</f>
        <v/>
      </c>
      <c r="CQ6" s="297" t="str">
        <f>IF(ISNUMBER('#4-439'!CQ34),'#4-439'!CQ34,"")</f>
        <v/>
      </c>
      <c r="CR6" s="359" t="str">
        <f>'#4-439'!CR34</f>
        <v/>
      </c>
      <c r="CS6" s="357" t="s">
        <v>171</v>
      </c>
      <c r="CT6" s="357" t="s">
        <v>1</v>
      </c>
      <c r="CU6" s="297" t="str">
        <f>IF(ISNUMBER('#4-439'!CU34),'#4-439'!CU34,"")</f>
        <v/>
      </c>
      <c r="CV6" s="297" t="str">
        <f>IF(ISNUMBER('#4-439'!CV34),'#4-439'!CV34,"")</f>
        <v/>
      </c>
      <c r="CW6" s="297" t="str">
        <f>IF(ISNUMBER('#4-439'!CW34),'#4-439'!CW34,"")</f>
        <v/>
      </c>
      <c r="CX6" s="297" t="str">
        <f>IF(ISNUMBER('#4-439'!CX34),'#4-439'!CX34,"")</f>
        <v/>
      </c>
      <c r="CY6" s="359" t="str">
        <f>'#4-439'!CY34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35"/>
      <c r="B7" s="337" t="str">
        <f t="shared" si="6"/>
        <v/>
      </c>
      <c r="C7" s="323" t="s">
        <v>90</v>
      </c>
      <c r="D7" s="462">
        <f t="shared" si="7"/>
        <v>5</v>
      </c>
      <c r="E7" s="466" t="str">
        <f t="shared" si="7"/>
        <v/>
      </c>
      <c r="F7" s="89"/>
      <c r="G7" s="471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H7" s="127"/>
      <c r="AJ7" s="130"/>
      <c r="AK7" s="130"/>
      <c r="AL7" s="130"/>
      <c r="AM7" s="127"/>
      <c r="AN7" s="136">
        <f t="shared" si="8"/>
        <v>131</v>
      </c>
      <c r="AO7" s="137">
        <v>5</v>
      </c>
      <c r="AP7" s="320" t="str">
        <f>'#5-439'!AP34</f>
        <v/>
      </c>
      <c r="AQ7" s="355" t="s">
        <v>5</v>
      </c>
      <c r="AR7" s="355" t="s">
        <v>4</v>
      </c>
      <c r="AS7" s="38" t="str">
        <f>IF(ISNUMBER('#5-439'!AS34),'#5-439'!AS34,"")</f>
        <v/>
      </c>
      <c r="AT7" s="38" t="str">
        <f>IF(ISNUMBER('#5-439'!AT34),'#5-439'!AT34,"")</f>
        <v/>
      </c>
      <c r="AU7" s="38" t="str">
        <f>IF(ISNUMBER('#5-439'!AU34),'#5-439'!AU34,"")</f>
        <v/>
      </c>
      <c r="AV7" s="38" t="str">
        <f>IF(ISNUMBER('#5-439'!AV34),'#5-439'!AV34,"")</f>
        <v/>
      </c>
      <c r="AW7" s="502" t="s">
        <v>23</v>
      </c>
      <c r="AX7" s="502" t="s">
        <v>6</v>
      </c>
      <c r="AY7" s="353" t="str">
        <f>IF(ISNUMBER('#5-439'!AY34),'#5-439'!AY34,"")</f>
        <v/>
      </c>
      <c r="AZ7" s="353" t="str">
        <f>IF(ISNUMBER('#5-439'!AZ34),'#5-439'!AZ34,"")</f>
        <v/>
      </c>
      <c r="BA7" s="353" t="str">
        <f>IF(ISNUMBER('#5-439'!BA34),'#5-439'!BA34,"")</f>
        <v/>
      </c>
      <c r="BB7" s="353" t="str">
        <f>IF(ISNUMBER('#5-439'!BB34),'#5-439'!BB34,"")</f>
        <v/>
      </c>
      <c r="BC7" s="140" t="e">
        <f>#REF!</f>
        <v>#REF!</v>
      </c>
      <c r="BD7" s="141"/>
      <c r="BE7" s="141"/>
      <c r="BF7" s="128">
        <f>'#5-439'!BF34</f>
        <v>0</v>
      </c>
      <c r="BG7" s="514" t="str">
        <f>'#5-439'!BG34</f>
        <v>Median</v>
      </c>
      <c r="BH7" s="350">
        <f>IF(ISNUMBER('#5-439'!BH34),'#5-439'!BH34,"")</f>
        <v>0</v>
      </c>
      <c r="BI7" s="351" t="str">
        <f>IF(ISNUMBER('#5-439'!BI34),'#5-439'!BI34,"")</f>
        <v/>
      </c>
      <c r="BJ7" s="512" t="str">
        <f t="shared" si="9"/>
        <v>O2 flow per cells</v>
      </c>
      <c r="BK7" s="512" t="str">
        <f t="shared" si="10"/>
        <v>pmol/(s*Mill)</v>
      </c>
      <c r="BL7" s="38" t="str">
        <f>IF(ISNUMBER('#5-439'!BL34),'#5-439'!BL34,"")</f>
        <v/>
      </c>
      <c r="BM7" s="38" t="str">
        <f>IF(ISNUMBER('#5-439'!BM34),'#5-439'!BM34,"")</f>
        <v/>
      </c>
      <c r="BN7" s="38" t="str">
        <f>IF(ISNUMBER('#5-439'!BN34),'#5-439'!BN34,"")</f>
        <v/>
      </c>
      <c r="BO7" s="38" t="str">
        <f>IF(ISNUMBER('#5-439'!BO34),'#5-439'!BO34,"")</f>
        <v/>
      </c>
      <c r="BP7" s="359" t="str">
        <f>'#5-439'!BP34</f>
        <v/>
      </c>
      <c r="BQ7" s="357" t="s">
        <v>19</v>
      </c>
      <c r="BR7" s="357" t="s">
        <v>20</v>
      </c>
      <c r="BS7" s="297" t="str">
        <f>IF(ISNUMBER('#5-439'!BS34),'#5-439'!BS34,"")</f>
        <v/>
      </c>
      <c r="BT7" s="297" t="str">
        <f>IF(ISNUMBER('#5-439'!BT34),'#5-439'!BT34,"")</f>
        <v/>
      </c>
      <c r="BU7" s="297" t="str">
        <f>IF(ISNUMBER('#5-439'!BU34),'#5-439'!BU34,"")</f>
        <v/>
      </c>
      <c r="BV7" s="297" t="str">
        <f>IF(ISNUMBER('#5-439'!BV34),'#5-439'!BV34,"")</f>
        <v/>
      </c>
      <c r="BW7" s="359" t="str">
        <f>'#5-439'!BW34</f>
        <v/>
      </c>
      <c r="BX7" s="357" t="s">
        <v>18</v>
      </c>
      <c r="BY7" s="357" t="s">
        <v>21</v>
      </c>
      <c r="BZ7" s="297" t="str">
        <f>IF(ISNUMBER('#5-439'!BZ34),'#5-439'!BZ34,"")</f>
        <v/>
      </c>
      <c r="CA7" s="297" t="str">
        <f>IF(ISNUMBER('#5-439'!CA34),'#5-439'!CA34,"")</f>
        <v/>
      </c>
      <c r="CB7" s="297" t="str">
        <f>IF(ISNUMBER('#5-439'!CB34),'#5-439'!CB34,"")</f>
        <v/>
      </c>
      <c r="CC7" s="297" t="str">
        <f>IF(ISNUMBER('#5-439'!CC34),'#5-439'!CC34,"")</f>
        <v/>
      </c>
      <c r="CD7" s="535" t="str">
        <f>'#5-439'!CD34</f>
        <v/>
      </c>
      <c r="CE7" s="512" t="str">
        <f t="shared" si="11"/>
        <v>O2 flow per cells (mt: ROX-corr.)</v>
      </c>
      <c r="CF7" s="512" t="str">
        <f t="shared" si="12"/>
        <v>pmol/(s*Mill)</v>
      </c>
      <c r="CG7" s="532" t="str">
        <f>IF(ISNUMBER('#5-439'!CG34),'#5-439'!CG34,"")</f>
        <v/>
      </c>
      <c r="CH7" s="532" t="str">
        <f>IF(ISNUMBER('#5-439'!CH34),'#5-439'!CH34,"")</f>
        <v/>
      </c>
      <c r="CI7" s="532" t="str">
        <f>IF(ISNUMBER('#5-439'!CI34),'#5-439'!CI34,"")</f>
        <v/>
      </c>
      <c r="CJ7" s="532" t="str">
        <f>IF(ISNUMBER('#5-439'!CJ34),'#5-439'!CJ34,"")</f>
        <v/>
      </c>
      <c r="CK7" s="359" t="str">
        <f>'#5-439'!CK34</f>
        <v/>
      </c>
      <c r="CL7" s="357" t="s">
        <v>170</v>
      </c>
      <c r="CM7" s="357" t="s">
        <v>1</v>
      </c>
      <c r="CN7" s="297" t="str">
        <f>IF(ISNUMBER('#5-439'!CN34),'#5-439'!CN34,"")</f>
        <v/>
      </c>
      <c r="CO7" s="297" t="str">
        <f>IF(ISNUMBER('#5-439'!CO34),'#5-439'!CO34,"")</f>
        <v/>
      </c>
      <c r="CP7" s="297" t="str">
        <f>IF(ISNUMBER('#5-439'!CP34),'#5-439'!CP34,"")</f>
        <v/>
      </c>
      <c r="CQ7" s="297" t="str">
        <f>IF(ISNUMBER('#5-439'!CQ34),'#5-439'!CQ34,"")</f>
        <v/>
      </c>
      <c r="CR7" s="359" t="str">
        <f>'#5-439'!CR34</f>
        <v/>
      </c>
      <c r="CS7" s="357" t="s">
        <v>171</v>
      </c>
      <c r="CT7" s="357" t="s">
        <v>1</v>
      </c>
      <c r="CU7" s="297" t="str">
        <f>IF(ISNUMBER('#5-439'!CU34),'#5-439'!CU34,"")</f>
        <v/>
      </c>
      <c r="CV7" s="297" t="str">
        <f>IF(ISNUMBER('#5-439'!CV34),'#5-439'!CV34,"")</f>
        <v/>
      </c>
      <c r="CW7" s="297" t="str">
        <f>IF(ISNUMBER('#5-439'!CW34),'#5-439'!CW34,"")</f>
        <v/>
      </c>
      <c r="CX7" s="297" t="str">
        <f>IF(ISNUMBER('#5-439'!CX34),'#5-439'!CX34,"")</f>
        <v/>
      </c>
      <c r="CY7" s="359" t="str">
        <f>'#5-439'!CY34</f>
        <v/>
      </c>
    </row>
    <row r="8" spans="1:116">
      <c r="A8" s="435"/>
      <c r="B8" s="337" t="str">
        <f t="shared" si="6"/>
        <v/>
      </c>
      <c r="C8" s="323" t="s">
        <v>90</v>
      </c>
      <c r="D8" s="462">
        <f t="shared" si="7"/>
        <v>6</v>
      </c>
      <c r="E8" s="466" t="str">
        <f t="shared" si="7"/>
        <v/>
      </c>
      <c r="F8" s="89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J8" s="130"/>
      <c r="AK8" s="130"/>
      <c r="AL8" s="130"/>
      <c r="AM8" s="127"/>
      <c r="AN8" s="136">
        <f t="shared" si="8"/>
        <v>151</v>
      </c>
      <c r="AO8" s="137">
        <v>6</v>
      </c>
      <c r="AP8" s="320" t="str">
        <f>'#6-439'!AP34</f>
        <v/>
      </c>
      <c r="AQ8" s="355" t="s">
        <v>5</v>
      </c>
      <c r="AR8" s="355" t="s">
        <v>4</v>
      </c>
      <c r="AS8" s="38" t="str">
        <f>IF(ISNUMBER('#6-439'!AS34),'#6-439'!AS34,"")</f>
        <v/>
      </c>
      <c r="AT8" s="38" t="str">
        <f>IF(ISNUMBER('#6-439'!AT34),'#6-439'!AT34,"")</f>
        <v/>
      </c>
      <c r="AU8" s="38" t="str">
        <f>IF(ISNUMBER('#6-439'!AU34),'#6-439'!AU34,"")</f>
        <v/>
      </c>
      <c r="AV8" s="38" t="str">
        <f>IF(ISNUMBER('#6-439'!AV34),'#6-439'!AV34,"")</f>
        <v/>
      </c>
      <c r="AW8" s="502" t="s">
        <v>23</v>
      </c>
      <c r="AX8" s="502" t="s">
        <v>6</v>
      </c>
      <c r="AY8" s="353" t="str">
        <f>IF(ISNUMBER('#6-439'!AY34),'#6-439'!AY34,"")</f>
        <v/>
      </c>
      <c r="AZ8" s="353" t="str">
        <f>IF(ISNUMBER('#6-439'!AZ34),'#6-439'!AZ34,"")</f>
        <v/>
      </c>
      <c r="BA8" s="353" t="str">
        <f>IF(ISNUMBER('#6-439'!BA34),'#6-439'!BA34,"")</f>
        <v/>
      </c>
      <c r="BB8" s="353" t="str">
        <f>IF(ISNUMBER('#6-439'!BB34),'#6-439'!BB34,"")</f>
        <v/>
      </c>
      <c r="BC8" s="140" t="e">
        <f>#REF!</f>
        <v>#REF!</v>
      </c>
      <c r="BD8" s="141"/>
      <c r="BE8" s="141"/>
      <c r="BF8" s="128">
        <f>'#6-439'!BF34</f>
        <v>0</v>
      </c>
      <c r="BG8" s="514" t="str">
        <f>'#6-439'!BG34</f>
        <v>Median</v>
      </c>
      <c r="BH8" s="350">
        <f>IF(ISNUMBER('#6-439'!BH34),'#6-439'!BH34,"")</f>
        <v>0</v>
      </c>
      <c r="BI8" s="351" t="str">
        <f>IF(ISNUMBER('#6-439'!BI34),'#6-439'!BI34,"")</f>
        <v/>
      </c>
      <c r="BJ8" s="512" t="str">
        <f t="shared" si="9"/>
        <v>O2 flow per cells</v>
      </c>
      <c r="BK8" s="512" t="str">
        <f t="shared" si="10"/>
        <v>pmol/(s*Mill)</v>
      </c>
      <c r="BL8" s="38" t="str">
        <f>IF(ISNUMBER('#6-439'!BL34),'#6-439'!BL34,"")</f>
        <v/>
      </c>
      <c r="BM8" s="38" t="str">
        <f>IF(ISNUMBER('#6-439'!BM34),'#6-439'!BM34,"")</f>
        <v/>
      </c>
      <c r="BN8" s="38" t="str">
        <f>IF(ISNUMBER('#6-439'!BN34),'#6-439'!BN34,"")</f>
        <v/>
      </c>
      <c r="BO8" s="38" t="str">
        <f>IF(ISNUMBER('#6-439'!BO34),'#6-439'!BO34,"")</f>
        <v/>
      </c>
      <c r="BP8" s="359" t="str">
        <f>'#6-439'!BP34</f>
        <v/>
      </c>
      <c r="BQ8" s="357" t="s">
        <v>19</v>
      </c>
      <c r="BR8" s="357" t="s">
        <v>20</v>
      </c>
      <c r="BS8" s="297" t="str">
        <f>IF(ISNUMBER('#6-439'!BS34),'#6-439'!BS34,"")</f>
        <v/>
      </c>
      <c r="BT8" s="297" t="str">
        <f>IF(ISNUMBER('#6-439'!BT34),'#6-439'!BT34,"")</f>
        <v/>
      </c>
      <c r="BU8" s="297" t="str">
        <f>IF(ISNUMBER('#6-439'!BU34),'#6-439'!BU34,"")</f>
        <v/>
      </c>
      <c r="BV8" s="297" t="str">
        <f>IF(ISNUMBER('#6-439'!BV34),'#6-439'!BV34,"")</f>
        <v/>
      </c>
      <c r="BW8" s="359" t="str">
        <f>'#6-439'!BW34</f>
        <v/>
      </c>
      <c r="BX8" s="357" t="s">
        <v>18</v>
      </c>
      <c r="BY8" s="357" t="s">
        <v>21</v>
      </c>
      <c r="BZ8" s="297" t="str">
        <f>IF(ISNUMBER('#6-439'!BZ34),'#6-439'!BZ34,"")</f>
        <v/>
      </c>
      <c r="CA8" s="297" t="str">
        <f>IF(ISNUMBER('#6-439'!CA34),'#6-439'!CA34,"")</f>
        <v/>
      </c>
      <c r="CB8" s="297" t="str">
        <f>IF(ISNUMBER('#6-439'!CB34),'#6-439'!CB34,"")</f>
        <v/>
      </c>
      <c r="CC8" s="297" t="str">
        <f>IF(ISNUMBER('#6-439'!CC34),'#6-439'!CC34,"")</f>
        <v/>
      </c>
      <c r="CD8" s="535" t="str">
        <f>'#6-439'!CD34</f>
        <v/>
      </c>
      <c r="CE8" s="512" t="str">
        <f t="shared" si="11"/>
        <v>O2 flow per cells (mt: ROX-corr.)</v>
      </c>
      <c r="CF8" s="512" t="str">
        <f t="shared" si="12"/>
        <v>pmol/(s*Mill)</v>
      </c>
      <c r="CG8" s="532" t="str">
        <f>IF(ISNUMBER('#6-439'!CG34),'#6-439'!CG34,"")</f>
        <v/>
      </c>
      <c r="CH8" s="532" t="str">
        <f>IF(ISNUMBER('#6-439'!CH34),'#6-439'!CH34,"")</f>
        <v/>
      </c>
      <c r="CI8" s="532" t="str">
        <f>IF(ISNUMBER('#6-439'!CI34),'#6-439'!CI34,"")</f>
        <v/>
      </c>
      <c r="CJ8" s="532" t="str">
        <f>IF(ISNUMBER('#6-439'!CJ34),'#6-439'!CJ34,"")</f>
        <v/>
      </c>
      <c r="CK8" s="359" t="str">
        <f>'#6-439'!CK34</f>
        <v/>
      </c>
      <c r="CL8" s="357" t="s">
        <v>170</v>
      </c>
      <c r="CM8" s="357" t="s">
        <v>1</v>
      </c>
      <c r="CN8" s="297" t="str">
        <f>IF(ISNUMBER('#6-439'!CN34),'#6-439'!CN34,"")</f>
        <v/>
      </c>
      <c r="CO8" s="297" t="str">
        <f>IF(ISNUMBER('#6-439'!CO34),'#6-439'!CO34,"")</f>
        <v/>
      </c>
      <c r="CP8" s="297" t="str">
        <f>IF(ISNUMBER('#6-439'!CP34),'#6-439'!CP34,"")</f>
        <v/>
      </c>
      <c r="CQ8" s="297" t="str">
        <f>IF(ISNUMBER('#6-439'!CQ34),'#6-439'!CQ34,"")</f>
        <v/>
      </c>
      <c r="CR8" s="359" t="str">
        <f>'#6-439'!CR34</f>
        <v/>
      </c>
      <c r="CS8" s="357" t="s">
        <v>171</v>
      </c>
      <c r="CT8" s="357" t="s">
        <v>1</v>
      </c>
      <c r="CU8" s="297" t="str">
        <f>IF(ISNUMBER('#6-439'!CU34),'#6-439'!CU34,"")</f>
        <v/>
      </c>
      <c r="CV8" s="297" t="str">
        <f>IF(ISNUMBER('#6-439'!CV34),'#6-439'!CV34,"")</f>
        <v/>
      </c>
      <c r="CW8" s="297" t="str">
        <f>IF(ISNUMBER('#6-439'!CW34),'#6-439'!CW34,"")</f>
        <v/>
      </c>
      <c r="CX8" s="297" t="str">
        <f>IF(ISNUMBER('#6-439'!CX34),'#6-439'!CX34,"")</f>
        <v/>
      </c>
      <c r="CY8" s="359" t="str">
        <f>'#6-439'!CY34</f>
        <v/>
      </c>
    </row>
    <row r="9" spans="1:116">
      <c r="A9" s="435"/>
      <c r="B9" s="337" t="str">
        <f t="shared" si="6"/>
        <v/>
      </c>
      <c r="C9" s="323" t="s">
        <v>90</v>
      </c>
      <c r="D9" s="338">
        <f t="shared" si="7"/>
        <v>7</v>
      </c>
      <c r="E9" s="466" t="str">
        <f t="shared" si="7"/>
        <v/>
      </c>
      <c r="F9" s="89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H9" s="127"/>
      <c r="AJ9" s="130"/>
      <c r="AK9" s="130"/>
      <c r="AL9" s="130"/>
      <c r="AM9" s="127"/>
      <c r="AN9" s="136">
        <f t="shared" si="8"/>
        <v>171</v>
      </c>
      <c r="AO9" s="137">
        <v>7</v>
      </c>
      <c r="AP9" s="320"/>
      <c r="AQ9" s="37"/>
      <c r="AR9" s="37"/>
      <c r="AS9" s="38"/>
      <c r="AT9" s="38"/>
      <c r="AU9" s="355"/>
      <c r="AV9" s="38"/>
      <c r="AW9" s="139"/>
      <c r="AX9" s="139"/>
      <c r="AY9" s="139"/>
      <c r="AZ9" s="316"/>
      <c r="BA9" s="316"/>
      <c r="BB9" s="316"/>
      <c r="BC9" s="140"/>
      <c r="BD9" s="141"/>
      <c r="BE9" s="141"/>
      <c r="BF9" s="142"/>
      <c r="BG9" s="142"/>
      <c r="BH9" s="350" t="str">
        <f>IF(ISNUMBER('#6-32D'!BH35),'#6-32D'!BH35,"")</f>
        <v/>
      </c>
      <c r="BI9" s="351"/>
      <c r="BJ9" s="28"/>
      <c r="BK9" s="28"/>
      <c r="BL9" s="38"/>
      <c r="BM9" s="38"/>
      <c r="BN9" s="38"/>
      <c r="BO9" s="38"/>
      <c r="BP9" s="148"/>
      <c r="BQ9" s="357"/>
      <c r="BR9" s="357"/>
      <c r="BS9" s="315"/>
      <c r="BT9" s="315"/>
      <c r="BU9" s="315"/>
      <c r="BV9" s="315"/>
      <c r="BW9" s="148"/>
      <c r="BX9" s="29"/>
      <c r="BY9" s="29"/>
      <c r="BZ9" s="312"/>
      <c r="CA9" s="312"/>
      <c r="CB9" s="312"/>
      <c r="CC9" s="312"/>
      <c r="CD9" s="148"/>
      <c r="CE9" s="28"/>
      <c r="CF9" s="28"/>
      <c r="CG9" s="26"/>
      <c r="CH9" s="26"/>
      <c r="CI9" s="26"/>
      <c r="CJ9" s="26"/>
      <c r="CK9" s="148"/>
      <c r="CL9" s="29"/>
      <c r="CM9" s="29"/>
      <c r="CN9" s="312"/>
      <c r="CO9" s="312"/>
      <c r="CP9" s="312"/>
      <c r="CQ9" s="312"/>
      <c r="CR9" s="148"/>
      <c r="CS9" s="29"/>
      <c r="CT9" s="29"/>
      <c r="CU9" s="312"/>
      <c r="CV9" s="312"/>
      <c r="CW9" s="312"/>
      <c r="CX9" s="312"/>
      <c r="CY9" s="148"/>
    </row>
    <row r="10" spans="1:116">
      <c r="A10" s="435"/>
      <c r="B10" s="337" t="str">
        <f t="shared" si="6"/>
        <v/>
      </c>
      <c r="C10" s="323" t="s">
        <v>90</v>
      </c>
      <c r="D10" s="338">
        <f t="shared" si="7"/>
        <v>8</v>
      </c>
      <c r="E10" s="466" t="str">
        <f t="shared" si="7"/>
        <v/>
      </c>
      <c r="F10" s="89"/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J10" s="130"/>
      <c r="AK10" s="130"/>
      <c r="AL10" s="130"/>
      <c r="AM10" s="127"/>
      <c r="AN10" s="136">
        <f t="shared" si="8"/>
        <v>191</v>
      </c>
      <c r="AO10" s="137">
        <v>8</v>
      </c>
      <c r="AP10" s="320"/>
      <c r="AQ10" s="37"/>
      <c r="AR10" s="37"/>
      <c r="AS10" s="38"/>
      <c r="AT10" s="38"/>
      <c r="AU10" s="38"/>
      <c r="AV10" s="38"/>
      <c r="AW10" s="139"/>
      <c r="AX10" s="139"/>
      <c r="AY10" s="139"/>
      <c r="AZ10" s="316"/>
      <c r="BA10" s="316"/>
      <c r="BB10" s="316"/>
      <c r="BC10" s="140"/>
      <c r="BD10" s="141"/>
      <c r="BE10" s="141"/>
      <c r="BF10" s="142"/>
      <c r="BG10" s="143"/>
      <c r="BH10" s="321"/>
      <c r="BI10" s="144"/>
      <c r="BJ10" s="28"/>
      <c r="BK10" s="28"/>
      <c r="BL10" s="38"/>
      <c r="BM10" s="38"/>
      <c r="BN10" s="38"/>
      <c r="BO10" s="38"/>
      <c r="BP10" s="148"/>
      <c r="BQ10" s="357"/>
      <c r="BR10" s="357"/>
      <c r="BS10" s="315"/>
      <c r="BT10" s="315"/>
      <c r="BU10" s="315"/>
      <c r="BV10" s="315"/>
      <c r="BW10" s="148"/>
      <c r="BX10" s="29"/>
      <c r="BY10" s="29"/>
      <c r="BZ10" s="312"/>
      <c r="CA10" s="312"/>
      <c r="CB10" s="312"/>
      <c r="CC10" s="312"/>
      <c r="CD10" s="148"/>
      <c r="CE10" s="28"/>
      <c r="CF10" s="28"/>
      <c r="CG10" s="26"/>
      <c r="CH10" s="26"/>
      <c r="CI10" s="26"/>
      <c r="CJ10" s="26"/>
      <c r="CK10" s="148"/>
      <c r="CL10" s="29"/>
      <c r="CM10" s="29"/>
      <c r="CN10" s="312"/>
      <c r="CO10" s="312"/>
      <c r="CP10" s="312"/>
      <c r="CQ10" s="312"/>
      <c r="CR10" s="148"/>
      <c r="CS10" s="29"/>
      <c r="CT10" s="29"/>
      <c r="CU10" s="312"/>
      <c r="CV10" s="312"/>
      <c r="CW10" s="312"/>
      <c r="CX10" s="312"/>
      <c r="CY10" s="148"/>
    </row>
    <row r="11" spans="1:116" ht="13.8" thickBot="1">
      <c r="A11" s="435"/>
      <c r="B11" s="337" t="str">
        <f t="shared" si="6"/>
        <v/>
      </c>
      <c r="C11" s="323" t="s">
        <v>90</v>
      </c>
      <c r="D11" s="338">
        <f t="shared" si="7"/>
        <v>9</v>
      </c>
      <c r="E11" s="466" t="str">
        <f t="shared" si="7"/>
        <v/>
      </c>
      <c r="F11" s="89"/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J11" s="127"/>
      <c r="AK11" s="127"/>
      <c r="AL11" s="127"/>
      <c r="AM11" s="468" t="s">
        <v>68</v>
      </c>
      <c r="AN11" s="136">
        <f t="shared" si="8"/>
        <v>211</v>
      </c>
      <c r="AO11" s="137">
        <v>9</v>
      </c>
      <c r="AP11" s="320"/>
      <c r="AQ11" s="37"/>
      <c r="AR11" s="37"/>
      <c r="AS11" s="38"/>
      <c r="AT11" s="38"/>
      <c r="AU11" s="38"/>
      <c r="AV11" s="38"/>
      <c r="AW11" s="139"/>
      <c r="AX11" s="139"/>
      <c r="AY11" s="139"/>
      <c r="AZ11" s="39"/>
      <c r="BA11" s="39"/>
      <c r="BB11" s="39"/>
      <c r="BC11" s="140"/>
      <c r="BD11" s="141"/>
      <c r="BE11" s="141"/>
      <c r="BF11" s="142"/>
      <c r="BG11" s="143"/>
      <c r="BH11" s="321"/>
      <c r="BI11" s="144"/>
      <c r="BJ11" s="28"/>
      <c r="BK11" s="28"/>
      <c r="BL11" s="26"/>
      <c r="BM11" s="26"/>
      <c r="BN11" s="26"/>
      <c r="BO11" s="26"/>
      <c r="BP11" s="148"/>
      <c r="BQ11" s="29"/>
      <c r="BR11" s="29"/>
      <c r="BS11" s="24"/>
      <c r="BT11" s="24"/>
      <c r="BU11" s="24"/>
      <c r="BV11" s="24"/>
      <c r="BW11" s="148"/>
      <c r="BX11" s="29"/>
      <c r="BY11" s="29"/>
      <c r="BZ11" s="24"/>
      <c r="CA11" s="24"/>
      <c r="CB11" s="24"/>
      <c r="CC11" s="24"/>
      <c r="CD11" s="148"/>
      <c r="CE11" s="28"/>
      <c r="CF11" s="28"/>
      <c r="CG11" s="26"/>
      <c r="CH11" s="26"/>
      <c r="CI11" s="26"/>
      <c r="CJ11" s="26"/>
      <c r="CK11" s="148"/>
      <c r="CL11" s="29"/>
      <c r="CM11" s="29"/>
      <c r="CN11" s="24"/>
      <c r="CO11" s="24"/>
      <c r="CP11" s="24"/>
      <c r="CQ11" s="24"/>
      <c r="CR11" s="148"/>
      <c r="CS11" s="29"/>
      <c r="CT11" s="29"/>
      <c r="CU11" s="24"/>
      <c r="CV11" s="24"/>
      <c r="CW11" s="24"/>
      <c r="CX11" s="24"/>
      <c r="CY11" s="148"/>
    </row>
    <row r="12" spans="1:116">
      <c r="A12" s="435"/>
      <c r="B12" s="337" t="str">
        <f t="shared" si="6"/>
        <v/>
      </c>
      <c r="C12" s="323" t="s">
        <v>90</v>
      </c>
      <c r="D12" s="338">
        <f t="shared" si="7"/>
        <v>10</v>
      </c>
      <c r="E12" s="466" t="str">
        <f t="shared" si="7"/>
        <v/>
      </c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B12" s="127"/>
      <c r="AC12" s="127"/>
      <c r="AD12" s="127"/>
      <c r="AE12" s="127"/>
      <c r="AF12" s="127"/>
      <c r="AG12" s="127"/>
      <c r="AH12" s="127"/>
      <c r="AI12" s="127" t="str">
        <f>BR33</f>
        <v>FCR, relative</v>
      </c>
      <c r="AJ12" s="506" t="str">
        <f>AJ$1</f>
        <v>R</v>
      </c>
      <c r="AK12" s="31" t="str">
        <f t="shared" ref="AK12:AM12" si="13">AK$1</f>
        <v>1Omy</v>
      </c>
      <c r="AL12" s="32" t="str">
        <f t="shared" si="13"/>
        <v>2U</v>
      </c>
      <c r="AM12" s="33" t="str">
        <f t="shared" si="13"/>
        <v>3Rot</v>
      </c>
      <c r="AN12" s="136">
        <f t="shared" si="8"/>
        <v>231</v>
      </c>
      <c r="AO12" s="137">
        <v>10</v>
      </c>
      <c r="AP12" s="320"/>
      <c r="AQ12" s="37"/>
      <c r="AR12" s="37"/>
      <c r="AS12" s="38"/>
      <c r="AT12" s="38"/>
      <c r="AU12" s="38"/>
      <c r="AV12" s="38"/>
      <c r="AW12" s="139"/>
      <c r="AX12" s="139"/>
      <c r="AY12" s="39"/>
      <c r="AZ12" s="39"/>
      <c r="BA12" s="39"/>
      <c r="BB12" s="39"/>
      <c r="BC12" s="140"/>
      <c r="BD12" s="141"/>
      <c r="BE12" s="141"/>
      <c r="BF12" s="142"/>
      <c r="BG12" s="143"/>
      <c r="BH12" s="321"/>
      <c r="BI12" s="144"/>
      <c r="BJ12" s="28"/>
      <c r="BK12" s="28"/>
      <c r="BL12" s="26"/>
      <c r="BM12" s="26"/>
      <c r="BN12" s="26"/>
      <c r="BO12" s="26"/>
      <c r="BP12" s="148"/>
      <c r="BQ12" s="29"/>
      <c r="BR12" s="29"/>
      <c r="BS12" s="24"/>
      <c r="BT12" s="24"/>
      <c r="BU12" s="24"/>
      <c r="BV12" s="24"/>
      <c r="BW12" s="148"/>
      <c r="BX12" s="29"/>
      <c r="BY12" s="29"/>
      <c r="BZ12" s="24"/>
      <c r="CA12" s="24"/>
      <c r="CB12" s="24"/>
      <c r="CC12" s="24"/>
      <c r="CD12" s="148"/>
      <c r="CE12" s="28"/>
      <c r="CF12" s="28"/>
      <c r="CG12" s="26"/>
      <c r="CH12" s="26"/>
      <c r="CI12" s="26"/>
      <c r="CJ12" s="26"/>
      <c r="CK12" s="148"/>
      <c r="CL12" s="29"/>
      <c r="CM12" s="29"/>
      <c r="CN12" s="24"/>
      <c r="CO12" s="24"/>
      <c r="CP12" s="24"/>
      <c r="CQ12" s="24"/>
      <c r="CR12" s="148"/>
      <c r="CS12" s="29"/>
      <c r="CT12" s="29"/>
      <c r="CU12" s="24"/>
      <c r="CV12" s="24"/>
      <c r="CW12" s="24"/>
      <c r="CX12" s="24"/>
      <c r="CY12" s="148"/>
    </row>
    <row r="13" spans="1:116">
      <c r="A13" s="435"/>
      <c r="B13" s="337" t="str">
        <f t="shared" si="6"/>
        <v/>
      </c>
      <c r="C13" s="323" t="s">
        <v>90</v>
      </c>
      <c r="D13" s="338">
        <f t="shared" si="7"/>
        <v>11</v>
      </c>
      <c r="E13" s="466" t="str">
        <f t="shared" si="7"/>
        <v/>
      </c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I13" s="127" t="str">
        <f>BR34</f>
        <v>Median</v>
      </c>
      <c r="AJ13" s="212">
        <f>BS34</f>
        <v>0.36903967135925042</v>
      </c>
      <c r="AK13" s="212">
        <f t="shared" ref="AK13:AM13" si="14">BT34</f>
        <v>0.11209712103269077</v>
      </c>
      <c r="AL13" s="212">
        <f t="shared" si="14"/>
        <v>1</v>
      </c>
      <c r="AM13" s="212">
        <f t="shared" si="14"/>
        <v>1.868046969315687E-2</v>
      </c>
      <c r="AN13" s="136">
        <f t="shared" si="8"/>
        <v>251</v>
      </c>
      <c r="AO13" s="137">
        <v>11</v>
      </c>
      <c r="AP13" s="320"/>
      <c r="AQ13" s="37"/>
      <c r="AR13" s="37"/>
      <c r="AS13" s="38"/>
      <c r="AT13" s="38"/>
      <c r="AU13" s="38"/>
      <c r="AV13" s="38"/>
      <c r="AW13" s="139"/>
      <c r="AX13" s="139"/>
      <c r="AY13" s="39"/>
      <c r="AZ13" s="39"/>
      <c r="BA13" s="39"/>
      <c r="BB13" s="39"/>
      <c r="BC13" s="140"/>
      <c r="BD13" s="141"/>
      <c r="BE13" s="141"/>
      <c r="BF13" s="142"/>
      <c r="BG13" s="142"/>
      <c r="BH13" s="143"/>
      <c r="BI13" s="144"/>
      <c r="BJ13" s="28"/>
      <c r="BK13" s="28"/>
      <c r="BL13" s="26"/>
      <c r="BM13" s="26"/>
      <c r="BN13" s="26"/>
      <c r="BO13" s="26"/>
      <c r="BP13" s="148"/>
      <c r="BQ13" s="29"/>
      <c r="BR13" s="29"/>
      <c r="BS13" s="24"/>
      <c r="BT13" s="24"/>
      <c r="BU13" s="24"/>
      <c r="BV13" s="24"/>
      <c r="BW13" s="148"/>
      <c r="BX13" s="29"/>
      <c r="BY13" s="29"/>
      <c r="BZ13" s="24"/>
      <c r="CA13" s="24"/>
      <c r="CB13" s="24"/>
      <c r="CC13" s="24"/>
      <c r="CD13" s="148"/>
      <c r="CE13" s="28"/>
      <c r="CF13" s="28"/>
      <c r="CG13" s="26"/>
      <c r="CH13" s="26"/>
      <c r="CI13" s="26"/>
      <c r="CJ13" s="26"/>
      <c r="CK13" s="148"/>
      <c r="CL13" s="29"/>
      <c r="CM13" s="29"/>
      <c r="CN13" s="24"/>
      <c r="CO13" s="24"/>
      <c r="CP13" s="24"/>
      <c r="CQ13" s="24"/>
      <c r="CR13" s="148"/>
      <c r="CS13" s="29"/>
      <c r="CT13" s="29"/>
      <c r="CU13" s="24"/>
      <c r="CV13" s="24"/>
      <c r="CW13" s="24"/>
      <c r="CX13" s="24"/>
      <c r="CY13" s="148"/>
    </row>
    <row r="14" spans="1:116">
      <c r="A14" s="435"/>
      <c r="B14" s="337" t="str">
        <f t="shared" si="6"/>
        <v/>
      </c>
      <c r="C14" s="323" t="s">
        <v>90</v>
      </c>
      <c r="D14" s="338">
        <f t="shared" si="7"/>
        <v>12</v>
      </c>
      <c r="E14" s="466" t="str">
        <f t="shared" si="7"/>
        <v/>
      </c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M14" s="133"/>
      <c r="AN14" s="136">
        <f t="shared" si="8"/>
        <v>271</v>
      </c>
      <c r="AO14" s="137">
        <v>12</v>
      </c>
      <c r="AP14" s="320"/>
      <c r="AQ14" s="37"/>
      <c r="AR14" s="37"/>
      <c r="AS14" s="38"/>
      <c r="AT14" s="38"/>
      <c r="AU14" s="38"/>
      <c r="AV14" s="38"/>
      <c r="AW14" s="139"/>
      <c r="AX14" s="139"/>
      <c r="AY14" s="39"/>
      <c r="AZ14" s="39"/>
      <c r="BA14" s="39"/>
      <c r="BB14" s="39"/>
      <c r="BC14" s="140"/>
      <c r="BD14" s="141"/>
      <c r="BE14" s="141"/>
      <c r="BF14" s="142"/>
      <c r="BG14" s="143"/>
      <c r="BH14" s="321"/>
      <c r="BI14" s="144"/>
      <c r="BJ14" s="28"/>
      <c r="BK14" s="28"/>
      <c r="BL14" s="26"/>
      <c r="BM14" s="26"/>
      <c r="BN14" s="26"/>
      <c r="BO14" s="26"/>
      <c r="BP14" s="148"/>
      <c r="BQ14" s="29"/>
      <c r="BR14" s="29"/>
      <c r="BS14" s="24"/>
      <c r="BT14" s="357"/>
      <c r="BU14" s="24"/>
      <c r="BV14" s="24"/>
      <c r="BW14" s="148"/>
      <c r="BX14" s="29"/>
      <c r="BY14" s="29"/>
      <c r="BZ14" s="24"/>
      <c r="CA14" s="24"/>
      <c r="CB14" s="24"/>
      <c r="CC14" s="24"/>
      <c r="CD14" s="148"/>
      <c r="CE14" s="28"/>
      <c r="CF14" s="28"/>
      <c r="CG14" s="26"/>
      <c r="CH14" s="26"/>
      <c r="CI14" s="26"/>
      <c r="CJ14" s="26"/>
      <c r="CK14" s="148"/>
      <c r="CL14" s="29"/>
      <c r="CM14" s="29"/>
      <c r="CN14" s="24"/>
      <c r="CO14" s="24"/>
      <c r="CP14" s="24"/>
      <c r="CQ14" s="24"/>
      <c r="CR14" s="148"/>
      <c r="CS14" s="29"/>
      <c r="CT14" s="29"/>
      <c r="CU14" s="24"/>
      <c r="CV14" s="24"/>
      <c r="CW14" s="24"/>
      <c r="CX14" s="24"/>
      <c r="CY14" s="148"/>
    </row>
    <row r="15" spans="1:116">
      <c r="A15" s="435"/>
      <c r="B15" s="337" t="str">
        <f t="shared" si="6"/>
        <v/>
      </c>
      <c r="C15" s="323" t="s">
        <v>90</v>
      </c>
      <c r="D15" s="338">
        <f t="shared" si="7"/>
        <v>13</v>
      </c>
      <c r="E15" s="466" t="str">
        <f t="shared" si="7"/>
        <v/>
      </c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320"/>
      <c r="AQ15" s="37"/>
      <c r="AR15" s="37"/>
      <c r="AS15" s="38"/>
      <c r="AT15" s="38"/>
      <c r="AU15" s="38"/>
      <c r="AV15" s="38"/>
      <c r="AW15" s="139"/>
      <c r="AX15" s="139"/>
      <c r="AY15" s="39"/>
      <c r="AZ15" s="39"/>
      <c r="BA15" s="39"/>
      <c r="BB15" s="39"/>
      <c r="BC15" s="140"/>
      <c r="BD15" s="141"/>
      <c r="BE15" s="141"/>
      <c r="BF15" s="142"/>
      <c r="BG15" s="143"/>
      <c r="BH15" s="321"/>
      <c r="BI15" s="144"/>
      <c r="BJ15" s="28"/>
      <c r="BK15" s="28"/>
      <c r="BL15" s="26"/>
      <c r="BM15" s="26"/>
      <c r="BN15" s="26"/>
      <c r="BO15" s="26"/>
      <c r="BP15" s="148"/>
      <c r="BQ15" s="29"/>
      <c r="BR15" s="29"/>
      <c r="BS15" s="24"/>
      <c r="BT15" s="24"/>
      <c r="BU15" s="24"/>
      <c r="BV15" s="24"/>
      <c r="BW15" s="148"/>
      <c r="BX15" s="29"/>
      <c r="BY15" s="29"/>
      <c r="BZ15" s="24"/>
      <c r="CA15" s="24"/>
      <c r="CB15" s="24"/>
      <c r="CC15" s="24"/>
      <c r="CD15" s="148"/>
      <c r="CE15" s="28"/>
      <c r="CF15" s="28"/>
      <c r="CG15" s="26"/>
      <c r="CH15" s="26"/>
      <c r="CI15" s="26"/>
      <c r="CJ15" s="26"/>
      <c r="CK15" s="148"/>
      <c r="CL15" s="29"/>
      <c r="CM15" s="29"/>
      <c r="CN15" s="24"/>
      <c r="CO15" s="24"/>
      <c r="CP15" s="24"/>
      <c r="CQ15" s="24"/>
      <c r="CR15" s="148"/>
      <c r="CS15" s="29"/>
      <c r="CT15" s="29"/>
      <c r="CU15" s="24"/>
      <c r="CV15" s="24"/>
      <c r="CW15" s="24"/>
      <c r="CX15" s="24"/>
      <c r="CY15" s="148"/>
    </row>
    <row r="16" spans="1:116">
      <c r="A16" s="435"/>
      <c r="B16" s="337" t="str">
        <f t="shared" si="6"/>
        <v/>
      </c>
      <c r="C16" s="323" t="s">
        <v>90</v>
      </c>
      <c r="D16" s="338">
        <f t="shared" si="7"/>
        <v>14</v>
      </c>
      <c r="E16" s="466" t="str">
        <f t="shared" si="7"/>
        <v/>
      </c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320"/>
      <c r="AQ16" s="37"/>
      <c r="AR16" s="37"/>
      <c r="AS16" s="38"/>
      <c r="AT16" s="38"/>
      <c r="AU16" s="38"/>
      <c r="AV16" s="38"/>
      <c r="AW16" s="139"/>
      <c r="AX16" s="139"/>
      <c r="AY16" s="39"/>
      <c r="AZ16" s="39"/>
      <c r="BA16" s="39"/>
      <c r="BB16" s="39"/>
      <c r="BC16" s="140"/>
      <c r="BD16" s="141"/>
      <c r="BE16" s="141"/>
      <c r="BF16" s="142"/>
      <c r="BG16" s="143"/>
      <c r="BH16" s="321"/>
      <c r="BI16" s="144"/>
      <c r="BJ16" s="28"/>
      <c r="BK16" s="28"/>
      <c r="BL16" s="26"/>
      <c r="BM16" s="26"/>
      <c r="BN16" s="26"/>
      <c r="BO16" s="26"/>
      <c r="BP16" s="148"/>
      <c r="BQ16" s="29"/>
      <c r="BR16" s="29"/>
      <c r="BS16" s="24"/>
      <c r="BT16" s="24"/>
      <c r="BU16" s="24"/>
      <c r="BV16" s="24"/>
      <c r="BW16" s="148"/>
      <c r="BX16" s="29"/>
      <c r="BY16" s="29"/>
      <c r="BZ16" s="24"/>
      <c r="CA16" s="24"/>
      <c r="CB16" s="24"/>
      <c r="CC16" s="24"/>
      <c r="CD16" s="148"/>
      <c r="CE16" s="28"/>
      <c r="CF16" s="28"/>
      <c r="CG16" s="26"/>
      <c r="CH16" s="26"/>
      <c r="CI16" s="26"/>
      <c r="CJ16" s="26"/>
      <c r="CK16" s="148"/>
      <c r="CL16" s="29"/>
      <c r="CM16" s="29"/>
      <c r="CN16" s="24"/>
      <c r="CO16" s="24"/>
      <c r="CP16" s="24"/>
      <c r="CQ16" s="24"/>
      <c r="CR16" s="148"/>
      <c r="CS16" s="29"/>
      <c r="CT16" s="29"/>
      <c r="CU16" s="24"/>
      <c r="CV16" s="24"/>
      <c r="CW16" s="24"/>
      <c r="CX16" s="24"/>
      <c r="CY16" s="148"/>
    </row>
    <row r="17" spans="1:103">
      <c r="A17" s="435"/>
      <c r="B17" s="337" t="str">
        <f t="shared" si="6"/>
        <v/>
      </c>
      <c r="C17" s="323" t="s">
        <v>90</v>
      </c>
      <c r="D17" s="338">
        <f t="shared" si="7"/>
        <v>15</v>
      </c>
      <c r="E17" s="466" t="str">
        <f t="shared" si="7"/>
        <v/>
      </c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M17" s="133"/>
      <c r="AN17" s="136">
        <f t="shared" si="8"/>
        <v>331</v>
      </c>
      <c r="AO17" s="137">
        <v>15</v>
      </c>
      <c r="AP17" s="320"/>
      <c r="AQ17" s="37"/>
      <c r="AR17" s="37"/>
      <c r="AS17" s="38"/>
      <c r="AT17" s="38"/>
      <c r="AU17" s="38"/>
      <c r="AV17" s="38"/>
      <c r="AW17" s="139"/>
      <c r="AX17" s="139"/>
      <c r="AY17" s="39"/>
      <c r="AZ17" s="39"/>
      <c r="BA17" s="39"/>
      <c r="BB17" s="39"/>
      <c r="BC17" s="140"/>
      <c r="BD17" s="141"/>
      <c r="BE17" s="141"/>
      <c r="BF17" s="142"/>
      <c r="BG17" s="143"/>
      <c r="BH17" s="321"/>
      <c r="BI17" s="144"/>
      <c r="BJ17" s="28"/>
      <c r="BK17" s="28"/>
      <c r="BL17" s="26"/>
      <c r="BM17" s="26"/>
      <c r="BN17" s="26"/>
      <c r="BO17" s="26"/>
      <c r="BP17" s="148"/>
      <c r="BQ17" s="29"/>
      <c r="BR17" s="29"/>
      <c r="BS17" s="24"/>
      <c r="BT17" s="24"/>
      <c r="BU17" s="24"/>
      <c r="BV17" s="24"/>
      <c r="BW17" s="148"/>
      <c r="BX17" s="29"/>
      <c r="BY17" s="29"/>
      <c r="BZ17" s="24"/>
      <c r="CA17" s="24"/>
      <c r="CB17" s="24"/>
      <c r="CC17" s="24"/>
      <c r="CD17" s="148"/>
      <c r="CE17" s="28"/>
      <c r="CF17" s="28"/>
      <c r="CG17" s="26"/>
      <c r="CH17" s="26"/>
      <c r="CI17" s="26"/>
      <c r="CJ17" s="26"/>
      <c r="CK17" s="148"/>
      <c r="CL17" s="29"/>
      <c r="CM17" s="29"/>
      <c r="CN17" s="24"/>
      <c r="CO17" s="24"/>
      <c r="CP17" s="24"/>
      <c r="CQ17" s="24"/>
      <c r="CR17" s="148"/>
      <c r="CS17" s="29"/>
      <c r="CT17" s="29"/>
      <c r="CU17" s="24"/>
      <c r="CV17" s="24"/>
      <c r="CW17" s="24"/>
      <c r="CX17" s="24"/>
      <c r="CY17" s="148"/>
    </row>
    <row r="18" spans="1:103">
      <c r="A18" s="435"/>
      <c r="B18" s="337" t="str">
        <f t="shared" si="6"/>
        <v/>
      </c>
      <c r="C18" s="323" t="s">
        <v>90</v>
      </c>
      <c r="D18" s="338">
        <f t="shared" si="7"/>
        <v>16</v>
      </c>
      <c r="E18" s="466" t="str">
        <f t="shared" si="7"/>
        <v/>
      </c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M18" s="133"/>
      <c r="AN18" s="155">
        <f t="shared" si="8"/>
        <v>351</v>
      </c>
      <c r="AO18" s="137">
        <v>16</v>
      </c>
      <c r="AP18" s="320"/>
      <c r="AQ18" s="37"/>
      <c r="AR18" s="37"/>
      <c r="AS18" s="38"/>
      <c r="AT18" s="38"/>
      <c r="AU18" s="38"/>
      <c r="AV18" s="38"/>
      <c r="AW18" s="139"/>
      <c r="AX18" s="139"/>
      <c r="AY18" s="39"/>
      <c r="AZ18" s="39"/>
      <c r="BA18" s="39"/>
      <c r="BB18" s="39"/>
      <c r="BC18" s="140"/>
      <c r="BD18" s="141"/>
      <c r="BE18" s="141"/>
      <c r="BF18" s="142"/>
      <c r="BG18" s="143"/>
      <c r="BH18" s="321"/>
      <c r="BI18" s="144"/>
      <c r="BJ18" s="28"/>
      <c r="BK18" s="28"/>
      <c r="BL18" s="26"/>
      <c r="BM18" s="26"/>
      <c r="BN18" s="26"/>
      <c r="BO18" s="26"/>
      <c r="BP18" s="148"/>
      <c r="BQ18" s="29"/>
      <c r="BR18" s="29"/>
      <c r="BS18" s="24"/>
      <c r="BT18" s="24"/>
      <c r="BU18" s="24"/>
      <c r="BV18" s="24"/>
      <c r="BW18" s="148"/>
      <c r="BX18" s="29"/>
      <c r="BY18" s="29"/>
      <c r="BZ18" s="24"/>
      <c r="CA18" s="24"/>
      <c r="CB18" s="24"/>
      <c r="CC18" s="24"/>
      <c r="CD18" s="148"/>
      <c r="CE18" s="28"/>
      <c r="CF18" s="28"/>
      <c r="CG18" s="26"/>
      <c r="CH18" s="26"/>
      <c r="CI18" s="26"/>
      <c r="CJ18" s="26"/>
      <c r="CK18" s="148"/>
      <c r="CL18" s="29"/>
      <c r="CM18" s="29"/>
      <c r="CN18" s="24"/>
      <c r="CO18" s="24"/>
      <c r="CP18" s="24"/>
      <c r="CQ18" s="24"/>
      <c r="CR18" s="148"/>
      <c r="CS18" s="29"/>
      <c r="CT18" s="29"/>
      <c r="CU18" s="24"/>
      <c r="CV18" s="24"/>
      <c r="CW18" s="24"/>
      <c r="CX18" s="24"/>
      <c r="CY18" s="148"/>
    </row>
    <row r="19" spans="1:103">
      <c r="A19" s="435"/>
      <c r="B19" s="337" t="str">
        <f t="shared" si="6"/>
        <v/>
      </c>
      <c r="C19" s="323" t="s">
        <v>90</v>
      </c>
      <c r="D19" s="338">
        <f t="shared" si="7"/>
        <v>17</v>
      </c>
      <c r="E19" s="466" t="str">
        <f t="shared" si="7"/>
        <v/>
      </c>
      <c r="F19" s="89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26"/>
      <c r="AH19" s="127"/>
      <c r="AM19" s="133"/>
      <c r="AN19" s="155">
        <f t="shared" si="8"/>
        <v>371</v>
      </c>
      <c r="AO19" s="137">
        <v>17</v>
      </c>
      <c r="AP19" s="320"/>
      <c r="AQ19" s="37"/>
      <c r="AR19" s="37"/>
      <c r="AS19" s="38"/>
      <c r="AT19" s="38"/>
      <c r="AU19" s="38"/>
      <c r="AV19" s="38"/>
      <c r="AW19" s="139"/>
      <c r="AX19" s="139"/>
      <c r="AY19" s="39"/>
      <c r="AZ19" s="39"/>
      <c r="BA19" s="39"/>
      <c r="BB19" s="39"/>
      <c r="BC19" s="140"/>
      <c r="BD19" s="141"/>
      <c r="BE19" s="141"/>
      <c r="BF19" s="142"/>
      <c r="BG19" s="143"/>
      <c r="BH19" s="321"/>
      <c r="BI19" s="144"/>
      <c r="BJ19" s="28"/>
      <c r="BK19" s="28"/>
      <c r="BL19" s="26"/>
      <c r="BM19" s="26"/>
      <c r="BN19" s="26"/>
      <c r="BO19" s="26"/>
      <c r="BP19" s="148"/>
      <c r="BQ19" s="29"/>
      <c r="BR19" s="29"/>
      <c r="BS19" s="24"/>
      <c r="BT19" s="24"/>
      <c r="BU19" s="24"/>
      <c r="BV19" s="24"/>
      <c r="BW19" s="148"/>
      <c r="BX19" s="29"/>
      <c r="BY19" s="29"/>
      <c r="BZ19" s="24"/>
      <c r="CA19" s="24"/>
      <c r="CB19" s="24"/>
      <c r="CC19" s="24"/>
      <c r="CD19" s="148"/>
      <c r="CE19" s="28"/>
      <c r="CF19" s="28"/>
      <c r="CG19" s="26"/>
      <c r="CH19" s="26"/>
      <c r="CI19" s="26"/>
      <c r="CJ19" s="26"/>
      <c r="CK19" s="148"/>
      <c r="CL19" s="29"/>
      <c r="CM19" s="29"/>
      <c r="CN19" s="24"/>
      <c r="CO19" s="24"/>
      <c r="CP19" s="24"/>
      <c r="CQ19" s="24"/>
      <c r="CR19" s="148"/>
      <c r="CS19" s="29"/>
      <c r="CT19" s="29"/>
      <c r="CU19" s="24"/>
      <c r="CV19" s="24"/>
      <c r="CW19" s="24"/>
      <c r="CX19" s="24"/>
      <c r="CY19" s="148"/>
    </row>
    <row r="20" spans="1:103">
      <c r="A20" s="435"/>
      <c r="B20" s="337" t="str">
        <f t="shared" si="6"/>
        <v/>
      </c>
      <c r="C20" s="323" t="s">
        <v>90</v>
      </c>
      <c r="D20" s="338">
        <f t="shared" si="7"/>
        <v>18</v>
      </c>
      <c r="E20" s="466" t="str">
        <f t="shared" si="7"/>
        <v/>
      </c>
      <c r="F20" s="8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AN20" s="136">
        <f t="shared" si="8"/>
        <v>391</v>
      </c>
      <c r="AO20" s="137">
        <v>18</v>
      </c>
      <c r="AP20" s="320"/>
      <c r="AQ20" s="37"/>
      <c r="AR20" s="37"/>
      <c r="AS20" s="38"/>
      <c r="AT20" s="38"/>
      <c r="AU20" s="38"/>
      <c r="AV20" s="38"/>
      <c r="AW20" s="139"/>
      <c r="AX20" s="139"/>
      <c r="AY20" s="39"/>
      <c r="AZ20" s="39"/>
      <c r="BA20" s="39"/>
      <c r="BB20" s="39"/>
      <c r="BC20" s="140"/>
      <c r="BD20" s="141"/>
      <c r="BE20" s="141"/>
      <c r="BF20" s="142"/>
      <c r="BG20" s="143"/>
      <c r="BH20" s="321"/>
      <c r="BI20" s="144"/>
      <c r="BJ20" s="28"/>
      <c r="BK20" s="28"/>
      <c r="BL20" s="26"/>
      <c r="BM20" s="26"/>
      <c r="BN20" s="26"/>
      <c r="BO20" s="26"/>
      <c r="BP20" s="148"/>
      <c r="BQ20" s="29"/>
      <c r="BR20" s="29"/>
      <c r="BS20" s="24"/>
      <c r="BT20" s="24"/>
      <c r="BU20" s="24"/>
      <c r="BV20" s="24"/>
      <c r="BW20" s="148"/>
      <c r="BX20" s="29"/>
      <c r="BY20" s="29"/>
      <c r="BZ20" s="24"/>
      <c r="CA20" s="24"/>
      <c r="CB20" s="24"/>
      <c r="CC20" s="24"/>
      <c r="CD20" s="148"/>
      <c r="CE20" s="28"/>
      <c r="CF20" s="28"/>
      <c r="CG20" s="26"/>
      <c r="CH20" s="26"/>
      <c r="CI20" s="26"/>
      <c r="CJ20" s="26"/>
      <c r="CK20" s="148"/>
      <c r="CL20" s="29"/>
      <c r="CM20" s="29"/>
      <c r="CN20" s="24"/>
      <c r="CO20" s="24"/>
      <c r="CP20" s="24"/>
      <c r="CQ20" s="24"/>
      <c r="CR20" s="148"/>
      <c r="CS20" s="29"/>
      <c r="CT20" s="29"/>
      <c r="CU20" s="24"/>
      <c r="CV20" s="24"/>
      <c r="CW20" s="24"/>
      <c r="CX20" s="24"/>
      <c r="CY20" s="148"/>
    </row>
    <row r="21" spans="1:103">
      <c r="A21" s="435"/>
      <c r="C21" s="323" t="s">
        <v>90</v>
      </c>
      <c r="D21" s="338">
        <f t="shared" si="7"/>
        <v>19</v>
      </c>
      <c r="E21" s="466" t="str">
        <f t="shared" si="7"/>
        <v/>
      </c>
      <c r="F21" s="22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AN21" s="136">
        <f t="shared" si="8"/>
        <v>411</v>
      </c>
      <c r="AO21" s="137">
        <v>19</v>
      </c>
      <c r="AP21" s="320"/>
      <c r="AQ21" s="37"/>
      <c r="AR21" s="37"/>
      <c r="AS21" s="38"/>
      <c r="AT21" s="38"/>
      <c r="AU21" s="38"/>
      <c r="AV21" s="38"/>
      <c r="AW21" s="139"/>
      <c r="AX21" s="139"/>
      <c r="AY21" s="39"/>
      <c r="AZ21" s="39"/>
      <c r="BA21" s="39"/>
      <c r="BB21" s="39"/>
      <c r="BC21" s="140"/>
      <c r="BD21" s="141"/>
      <c r="BE21" s="141"/>
      <c r="BF21" s="142"/>
      <c r="BG21" s="143"/>
      <c r="BH21" s="321"/>
      <c r="BI21" s="144"/>
      <c r="BJ21" s="28"/>
      <c r="BK21" s="28"/>
      <c r="BL21" s="26"/>
      <c r="BM21" s="26"/>
      <c r="BN21" s="26"/>
      <c r="BO21" s="26"/>
      <c r="BP21" s="148"/>
      <c r="BQ21" s="29"/>
      <c r="BR21" s="29"/>
      <c r="BS21" s="24"/>
      <c r="BT21" s="24"/>
      <c r="BU21" s="24"/>
      <c r="BV21" s="24"/>
      <c r="BW21" s="148"/>
      <c r="BX21" s="29"/>
      <c r="BY21" s="29"/>
      <c r="BZ21" s="24"/>
      <c r="CA21" s="24"/>
      <c r="CB21" s="24"/>
      <c r="CC21" s="24"/>
      <c r="CD21" s="148"/>
      <c r="CE21" s="28"/>
      <c r="CF21" s="28"/>
      <c r="CG21" s="26"/>
      <c r="CH21" s="26"/>
      <c r="CI21" s="26"/>
      <c r="CJ21" s="26"/>
      <c r="CK21" s="148"/>
      <c r="CL21" s="29"/>
      <c r="CM21" s="29"/>
      <c r="CN21" s="24"/>
      <c r="CO21" s="24"/>
      <c r="CP21" s="24"/>
      <c r="CQ21" s="24"/>
      <c r="CR21" s="148"/>
      <c r="CS21" s="29"/>
      <c r="CT21" s="29"/>
      <c r="CU21" s="24"/>
      <c r="CV21" s="24"/>
      <c r="CW21" s="24"/>
      <c r="CX21" s="24"/>
      <c r="CY21" s="148"/>
    </row>
    <row r="22" spans="1:103">
      <c r="A22" s="435"/>
      <c r="C22" s="323" t="s">
        <v>90</v>
      </c>
      <c r="D22" s="338">
        <f t="shared" ref="D22:E32" si="15">IF(ISNUMBER(AO22),AO22,"")</f>
        <v>20</v>
      </c>
      <c r="E22" s="466" t="str">
        <f t="shared" si="15"/>
        <v/>
      </c>
      <c r="G22" s="150" t="s">
        <v>263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2"/>
      <c r="AA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320"/>
      <c r="AQ22" s="37"/>
      <c r="AR22" s="37"/>
      <c r="AS22" s="38"/>
      <c r="AT22" s="38"/>
      <c r="AU22" s="38"/>
      <c r="AV22" s="38"/>
      <c r="AW22" s="139"/>
      <c r="AX22" s="139"/>
      <c r="AY22" s="39"/>
      <c r="AZ22" s="39"/>
      <c r="BA22" s="39"/>
      <c r="BB22" s="39"/>
      <c r="BC22" s="140"/>
      <c r="BD22" s="141"/>
      <c r="BE22" s="141"/>
      <c r="BF22" s="142"/>
      <c r="BG22" s="143"/>
      <c r="BH22" s="321"/>
      <c r="BI22" s="144"/>
      <c r="BJ22" s="28"/>
      <c r="BK22" s="28"/>
      <c r="BL22" s="26"/>
      <c r="BM22" s="26"/>
      <c r="BN22" s="26"/>
      <c r="BO22" s="26"/>
      <c r="BP22" s="148"/>
      <c r="BQ22" s="29"/>
      <c r="BR22" s="29"/>
      <c r="BS22" s="24"/>
      <c r="BT22" s="24"/>
      <c r="BU22" s="24"/>
      <c r="BV22" s="24"/>
      <c r="BW22" s="148"/>
      <c r="BX22" s="29"/>
      <c r="BY22" s="29"/>
      <c r="BZ22" s="24"/>
      <c r="CA22" s="24"/>
      <c r="CB22" s="24"/>
      <c r="CC22" s="24"/>
      <c r="CD22" s="148"/>
      <c r="CE22" s="28"/>
      <c r="CF22" s="28"/>
      <c r="CG22" s="26"/>
      <c r="CH22" s="26"/>
      <c r="CI22" s="26"/>
      <c r="CJ22" s="26"/>
      <c r="CK22" s="148"/>
      <c r="CL22" s="29"/>
      <c r="CM22" s="29"/>
      <c r="CN22" s="24"/>
      <c r="CO22" s="24"/>
      <c r="CP22" s="24"/>
      <c r="CQ22" s="24"/>
      <c r="CR22" s="148"/>
      <c r="CS22" s="29"/>
      <c r="CT22" s="29"/>
      <c r="CU22" s="24"/>
      <c r="CV22" s="24"/>
      <c r="CW22" s="24"/>
      <c r="CX22" s="24"/>
      <c r="CY22" s="148"/>
    </row>
    <row r="23" spans="1:103">
      <c r="A23" s="435"/>
      <c r="C23" s="323" t="s">
        <v>90</v>
      </c>
      <c r="D23" s="338">
        <f t="shared" si="15"/>
        <v>21</v>
      </c>
      <c r="E23" s="466" t="str">
        <f t="shared" si="15"/>
        <v/>
      </c>
      <c r="G23" s="465" t="s">
        <v>64</v>
      </c>
      <c r="H23" s="460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320"/>
      <c r="AQ23" s="37"/>
      <c r="AR23" s="37"/>
      <c r="AS23" s="38"/>
      <c r="AT23" s="38"/>
      <c r="AU23" s="38"/>
      <c r="AV23" s="38"/>
      <c r="AW23" s="139"/>
      <c r="AX23" s="139"/>
      <c r="AY23" s="39"/>
      <c r="AZ23" s="39"/>
      <c r="BA23" s="39"/>
      <c r="BB23" s="39"/>
      <c r="BC23" s="140"/>
      <c r="BD23" s="141"/>
      <c r="BE23" s="141"/>
      <c r="BF23" s="142"/>
      <c r="BG23" s="143"/>
      <c r="BH23" s="321"/>
      <c r="BI23" s="144"/>
      <c r="BJ23" s="28"/>
      <c r="BK23" s="28"/>
      <c r="BL23" s="26"/>
      <c r="BM23" s="26"/>
      <c r="BN23" s="26"/>
      <c r="BO23" s="26"/>
      <c r="BP23" s="148"/>
      <c r="BQ23" s="29"/>
      <c r="BR23" s="29"/>
      <c r="BS23" s="24"/>
      <c r="BT23" s="24"/>
      <c r="BU23" s="24"/>
      <c r="BV23" s="24"/>
      <c r="BW23" s="148"/>
      <c r="BX23" s="29"/>
      <c r="BY23" s="29"/>
      <c r="BZ23" s="24"/>
      <c r="CA23" s="24"/>
      <c r="CB23" s="24"/>
      <c r="CC23" s="24"/>
      <c r="CD23" s="148"/>
      <c r="CE23" s="28"/>
      <c r="CF23" s="28"/>
      <c r="CG23" s="26"/>
      <c r="CH23" s="26"/>
      <c r="CI23" s="26"/>
      <c r="CJ23" s="26"/>
      <c r="CK23" s="148"/>
      <c r="CL23" s="29"/>
      <c r="CM23" s="29"/>
      <c r="CN23" s="24"/>
      <c r="CO23" s="24"/>
      <c r="CP23" s="24"/>
      <c r="CQ23" s="24"/>
      <c r="CR23" s="148"/>
      <c r="CS23" s="29"/>
      <c r="CT23" s="29"/>
      <c r="CU23" s="24"/>
      <c r="CV23" s="24"/>
      <c r="CW23" s="24"/>
      <c r="CX23" s="24"/>
      <c r="CY23" s="148"/>
    </row>
    <row r="24" spans="1:103">
      <c r="A24" s="435"/>
      <c r="C24" s="323" t="s">
        <v>90</v>
      </c>
      <c r="D24" s="338">
        <f t="shared" si="15"/>
        <v>22</v>
      </c>
      <c r="E24" s="466" t="str">
        <f t="shared" si="15"/>
        <v/>
      </c>
      <c r="Z24" s="116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320"/>
      <c r="AQ24" s="37"/>
      <c r="AR24" s="37"/>
      <c r="AS24" s="38"/>
      <c r="AT24" s="38"/>
      <c r="AU24" s="38"/>
      <c r="AV24" s="38"/>
      <c r="AW24" s="139"/>
      <c r="AX24" s="139"/>
      <c r="AY24" s="39"/>
      <c r="AZ24" s="39"/>
      <c r="BA24" s="39"/>
      <c r="BB24" s="39"/>
      <c r="BC24" s="140"/>
      <c r="BD24" s="141"/>
      <c r="BE24" s="141"/>
      <c r="BF24" s="142"/>
      <c r="BG24" s="143"/>
      <c r="BH24" s="321"/>
      <c r="BI24" s="144"/>
      <c r="BJ24" s="28"/>
      <c r="BK24" s="28"/>
      <c r="BL24" s="26"/>
      <c r="BM24" s="26"/>
      <c r="BN24" s="26"/>
      <c r="BO24" s="26"/>
      <c r="BP24" s="148"/>
      <c r="BQ24" s="29"/>
      <c r="BR24" s="29"/>
      <c r="BS24" s="24"/>
      <c r="BT24" s="24"/>
      <c r="BU24" s="24"/>
      <c r="BV24" s="24"/>
      <c r="BW24" s="148"/>
      <c r="BX24" s="29"/>
      <c r="BY24" s="29"/>
      <c r="BZ24" s="24"/>
      <c r="CA24" s="24"/>
      <c r="CB24" s="24"/>
      <c r="CC24" s="24"/>
      <c r="CD24" s="148"/>
      <c r="CE24" s="28"/>
      <c r="CF24" s="28"/>
      <c r="CG24" s="26"/>
      <c r="CH24" s="26"/>
      <c r="CI24" s="26"/>
      <c r="CJ24" s="26"/>
      <c r="CK24" s="148"/>
      <c r="CL24" s="29"/>
      <c r="CM24" s="29"/>
      <c r="CN24" s="24"/>
      <c r="CO24" s="24"/>
      <c r="CP24" s="24"/>
      <c r="CQ24" s="24"/>
      <c r="CR24" s="148"/>
      <c r="CS24" s="29"/>
      <c r="CT24" s="29"/>
      <c r="CU24" s="24"/>
      <c r="CV24" s="24"/>
      <c r="CW24" s="24"/>
      <c r="CX24" s="24"/>
      <c r="CY24" s="148"/>
    </row>
    <row r="25" spans="1:103">
      <c r="A25" s="435"/>
      <c r="C25" s="323" t="s">
        <v>90</v>
      </c>
      <c r="D25" s="338">
        <f t="shared" si="15"/>
        <v>23</v>
      </c>
      <c r="E25" s="466" t="str">
        <f t="shared" si="15"/>
        <v/>
      </c>
      <c r="Z25" s="116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320"/>
      <c r="AQ25" s="37"/>
      <c r="AR25" s="37"/>
      <c r="AS25" s="38"/>
      <c r="AT25" s="38"/>
      <c r="AU25" s="38"/>
      <c r="AV25" s="38"/>
      <c r="AW25" s="139"/>
      <c r="AX25" s="139"/>
      <c r="AY25" s="39"/>
      <c r="AZ25" s="39"/>
      <c r="BA25" s="39"/>
      <c r="BB25" s="39"/>
      <c r="BC25" s="140"/>
      <c r="BD25" s="141"/>
      <c r="BE25" s="141"/>
      <c r="BF25" s="142"/>
      <c r="BG25" s="143"/>
      <c r="BH25" s="321"/>
      <c r="BI25" s="144"/>
      <c r="BJ25" s="28"/>
      <c r="BK25" s="28"/>
      <c r="BL25" s="26"/>
      <c r="BM25" s="26"/>
      <c r="BN25" s="26"/>
      <c r="BO25" s="26"/>
      <c r="BP25" s="148"/>
      <c r="BQ25" s="29"/>
      <c r="BR25" s="29"/>
      <c r="BS25" s="24"/>
      <c r="BT25" s="24"/>
      <c r="BU25" s="24"/>
      <c r="BV25" s="24"/>
      <c r="BW25" s="148"/>
      <c r="BX25" s="29"/>
      <c r="BY25" s="29"/>
      <c r="BZ25" s="24"/>
      <c r="CA25" s="24"/>
      <c r="CB25" s="24"/>
      <c r="CC25" s="24"/>
      <c r="CD25" s="148"/>
      <c r="CE25" s="28"/>
      <c r="CF25" s="28"/>
      <c r="CG25" s="26"/>
      <c r="CH25" s="26"/>
      <c r="CI25" s="26"/>
      <c r="CJ25" s="26"/>
      <c r="CK25" s="148"/>
      <c r="CL25" s="29"/>
      <c r="CM25" s="29"/>
      <c r="CN25" s="24"/>
      <c r="CO25" s="24"/>
      <c r="CP25" s="24"/>
      <c r="CQ25" s="24"/>
      <c r="CR25" s="148"/>
      <c r="CS25" s="29"/>
      <c r="CT25" s="29"/>
      <c r="CU25" s="24"/>
      <c r="CV25" s="24"/>
      <c r="CW25" s="24"/>
      <c r="CX25" s="24"/>
      <c r="CY25" s="148"/>
    </row>
    <row r="26" spans="1:103">
      <c r="A26" s="435"/>
      <c r="C26" s="323" t="s">
        <v>90</v>
      </c>
      <c r="D26" s="338">
        <f t="shared" si="15"/>
        <v>24</v>
      </c>
      <c r="E26" s="466" t="str">
        <f t="shared" si="15"/>
        <v/>
      </c>
      <c r="Z26" s="116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320"/>
      <c r="AQ26" s="37"/>
      <c r="AR26" s="37"/>
      <c r="AS26" s="38"/>
      <c r="AT26" s="38"/>
      <c r="AU26" s="38"/>
      <c r="AV26" s="38"/>
      <c r="AW26" s="139"/>
      <c r="AX26" s="139"/>
      <c r="AY26" s="39"/>
      <c r="AZ26" s="39"/>
      <c r="BA26" s="39"/>
      <c r="BB26" s="39"/>
      <c r="BC26" s="140"/>
      <c r="BD26" s="141"/>
      <c r="BE26" s="141"/>
      <c r="BF26" s="142"/>
      <c r="BG26" s="143"/>
      <c r="BH26" s="321"/>
      <c r="BI26" s="144"/>
      <c r="BJ26" s="28"/>
      <c r="BK26" s="28"/>
      <c r="BL26" s="26"/>
      <c r="BM26" s="26"/>
      <c r="BN26" s="26"/>
      <c r="BO26" s="26"/>
      <c r="BP26" s="148"/>
      <c r="BQ26" s="29"/>
      <c r="BR26" s="29"/>
      <c r="BS26" s="24"/>
      <c r="BT26" s="24"/>
      <c r="BU26" s="24"/>
      <c r="BV26" s="24"/>
      <c r="BW26" s="148"/>
      <c r="BX26" s="29"/>
      <c r="BY26" s="29"/>
      <c r="BZ26" s="24"/>
      <c r="CA26" s="24"/>
      <c r="CB26" s="24"/>
      <c r="CC26" s="24"/>
      <c r="CD26" s="148"/>
      <c r="CE26" s="28"/>
      <c r="CF26" s="28"/>
      <c r="CG26" s="26"/>
      <c r="CH26" s="26"/>
      <c r="CI26" s="26"/>
      <c r="CJ26" s="26"/>
      <c r="CK26" s="148"/>
      <c r="CL26" s="29"/>
      <c r="CM26" s="29"/>
      <c r="CN26" s="24"/>
      <c r="CO26" s="24"/>
      <c r="CP26" s="24"/>
      <c r="CQ26" s="24"/>
      <c r="CR26" s="148"/>
      <c r="CS26" s="29"/>
      <c r="CT26" s="29"/>
      <c r="CU26" s="24"/>
      <c r="CV26" s="24"/>
      <c r="CW26" s="24"/>
      <c r="CX26" s="24"/>
      <c r="CY26" s="148"/>
    </row>
    <row r="27" spans="1:103">
      <c r="A27" s="435"/>
      <c r="C27" s="323" t="s">
        <v>90</v>
      </c>
      <c r="D27" s="338">
        <f t="shared" si="15"/>
        <v>25</v>
      </c>
      <c r="E27" s="466" t="str">
        <f t="shared" si="15"/>
        <v/>
      </c>
      <c r="Z27" s="116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320"/>
      <c r="BC27" s="140"/>
      <c r="BH27" s="213"/>
      <c r="BP27" s="14"/>
      <c r="BW27" s="14"/>
      <c r="CD27" s="14"/>
      <c r="CK27" s="14"/>
      <c r="CR27" s="14"/>
      <c r="CY27" s="14"/>
    </row>
    <row r="28" spans="1:103">
      <c r="A28" s="435"/>
      <c r="C28" s="323" t="s">
        <v>90</v>
      </c>
      <c r="D28" s="338">
        <f t="shared" si="15"/>
        <v>26</v>
      </c>
      <c r="E28" s="466" t="str">
        <f t="shared" si="15"/>
        <v/>
      </c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320"/>
      <c r="BC28" s="140"/>
      <c r="BH28" s="213"/>
      <c r="BP28" s="14"/>
      <c r="BW28" s="14"/>
      <c r="CD28" s="14"/>
      <c r="CK28" s="14"/>
      <c r="CR28" s="14"/>
      <c r="CY28" s="14"/>
    </row>
    <row r="29" spans="1:103">
      <c r="A29" s="435"/>
      <c r="C29" s="323" t="s">
        <v>90</v>
      </c>
      <c r="D29" s="338">
        <f t="shared" si="15"/>
        <v>27</v>
      </c>
      <c r="E29" s="466" t="str">
        <f t="shared" si="15"/>
        <v/>
      </c>
      <c r="AN29" s="136">
        <f t="shared" si="8"/>
        <v>571</v>
      </c>
      <c r="AO29" s="137">
        <v>27</v>
      </c>
      <c r="AP29" s="320"/>
      <c r="AQ29" s="116"/>
      <c r="AR29" s="116"/>
      <c r="AS29" s="116"/>
      <c r="AT29" s="116"/>
      <c r="AU29" s="116"/>
      <c r="AV29" s="116"/>
      <c r="AW29" s="116"/>
      <c r="AX29" s="116"/>
      <c r="BC29" s="140"/>
      <c r="BD29" s="116"/>
      <c r="BE29" s="116"/>
      <c r="BF29" s="116"/>
      <c r="BG29" s="116"/>
      <c r="BH29" s="322"/>
      <c r="BJ29" s="116"/>
      <c r="BK29" s="116"/>
      <c r="BL29" s="116"/>
      <c r="BM29" s="116"/>
      <c r="BN29" s="116"/>
      <c r="BO29" s="116"/>
      <c r="BP29" s="14"/>
      <c r="BQ29" s="116"/>
      <c r="BR29" s="116"/>
      <c r="BW29" s="14"/>
      <c r="BX29" s="116"/>
      <c r="BY29" s="116"/>
      <c r="CD29" s="14"/>
      <c r="CE29" s="116"/>
      <c r="CF29" s="116"/>
      <c r="CG29" s="116"/>
      <c r="CH29" s="116"/>
      <c r="CI29" s="116"/>
      <c r="CJ29" s="116"/>
      <c r="CK29" s="14"/>
      <c r="CL29" s="116"/>
      <c r="CM29" s="116"/>
      <c r="CR29" s="14"/>
      <c r="CS29" s="116"/>
      <c r="CT29" s="116"/>
      <c r="CY29" s="14"/>
    </row>
    <row r="30" spans="1:103">
      <c r="A30" s="435"/>
      <c r="C30" s="323" t="s">
        <v>90</v>
      </c>
      <c r="D30" s="338">
        <f t="shared" si="15"/>
        <v>28</v>
      </c>
      <c r="E30" s="466" t="str">
        <f t="shared" si="15"/>
        <v/>
      </c>
      <c r="AN30" s="136">
        <f t="shared" si="8"/>
        <v>591</v>
      </c>
      <c r="AO30" s="137">
        <v>28</v>
      </c>
      <c r="AP30" s="320"/>
      <c r="BC30" s="140"/>
      <c r="BH30" s="213"/>
      <c r="BP30" s="14"/>
      <c r="BW30" s="14"/>
      <c r="CD30" s="14"/>
      <c r="CK30" s="14"/>
      <c r="CR30" s="14"/>
      <c r="CY30" s="14"/>
    </row>
    <row r="31" spans="1:103">
      <c r="A31" s="435"/>
      <c r="C31" s="323" t="s">
        <v>90</v>
      </c>
      <c r="D31" s="338">
        <f t="shared" si="15"/>
        <v>29</v>
      </c>
      <c r="E31" s="466" t="str">
        <f t="shared" si="15"/>
        <v/>
      </c>
      <c r="AN31" s="136">
        <f t="shared" si="8"/>
        <v>611</v>
      </c>
      <c r="AO31" s="137">
        <v>29</v>
      </c>
      <c r="AP31" s="320"/>
      <c r="BC31" s="140"/>
      <c r="BH31" s="213"/>
      <c r="BP31" s="14"/>
      <c r="BW31" s="14"/>
      <c r="CD31" s="14"/>
      <c r="CK31" s="14"/>
      <c r="CR31" s="14"/>
      <c r="CY31" s="14"/>
    </row>
    <row r="32" spans="1:103" ht="13.8" thickBot="1">
      <c r="A32" s="435"/>
      <c r="B32" s="18" t="str">
        <f>F1</f>
        <v>CCP</v>
      </c>
      <c r="C32" s="323" t="s">
        <v>90</v>
      </c>
      <c r="D32" s="338">
        <f t="shared" si="15"/>
        <v>30</v>
      </c>
      <c r="E32" s="466" t="str">
        <f t="shared" si="15"/>
        <v/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24"/>
      <c r="AQ32" s="37"/>
      <c r="AR32" s="37"/>
      <c r="AS32" s="38"/>
      <c r="AT32" s="38"/>
      <c r="AU32" s="38"/>
      <c r="AV32" s="38"/>
      <c r="AW32" s="139"/>
      <c r="AX32" s="139"/>
      <c r="AY32" s="39"/>
      <c r="AZ32" s="39"/>
      <c r="BA32" s="39"/>
      <c r="BB32" s="39"/>
      <c r="BC32" s="140"/>
      <c r="BD32" s="141"/>
      <c r="BE32" s="314"/>
      <c r="BF32" s="142"/>
      <c r="BG32" s="404"/>
      <c r="BH32" s="321"/>
      <c r="BI32" s="144"/>
      <c r="BJ32" s="28"/>
      <c r="BK32" s="28"/>
      <c r="BL32" s="26"/>
      <c r="BM32" s="26"/>
      <c r="BN32" s="26"/>
      <c r="BO32" s="26"/>
      <c r="BP32" s="148"/>
      <c r="BQ32" s="29"/>
      <c r="BR32" s="29"/>
      <c r="BS32" s="24"/>
      <c r="BT32" s="24"/>
      <c r="BU32" s="24"/>
      <c r="BV32" s="24"/>
      <c r="BW32" s="148"/>
      <c r="BX32" s="29"/>
      <c r="BY32" s="29"/>
      <c r="BZ32" s="24"/>
      <c r="CA32" s="24"/>
      <c r="CB32" s="24"/>
      <c r="CC32" s="24"/>
      <c r="CD32" s="148"/>
      <c r="CE32" s="28"/>
      <c r="CF32" s="28"/>
      <c r="CG32" s="26"/>
      <c r="CH32" s="26"/>
      <c r="CI32" s="26"/>
      <c r="CJ32" s="26"/>
      <c r="CK32" s="148"/>
      <c r="CL32" s="29"/>
      <c r="CM32" s="29"/>
      <c r="CN32" s="24"/>
      <c r="CO32" s="24"/>
      <c r="CP32" s="24"/>
      <c r="CQ32" s="24"/>
      <c r="CR32" s="148"/>
      <c r="CS32" s="29"/>
      <c r="CT32" s="29"/>
      <c r="CU32" s="24"/>
      <c r="CV32" s="24"/>
      <c r="CW32" s="24"/>
      <c r="CX32" s="24"/>
      <c r="CY32" s="148"/>
    </row>
    <row r="33" spans="1:103">
      <c r="A33" s="461" t="s">
        <v>125</v>
      </c>
      <c r="B33" s="162">
        <f>B1</f>
        <v>0</v>
      </c>
      <c r="C33" s="163">
        <f>$E$1</f>
        <v>0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6" t="str">
        <f>AJ$1</f>
        <v>R</v>
      </c>
      <c r="I33" s="31" t="str">
        <f t="shared" ref="I33:K33" si="16">AK$1</f>
        <v>1Omy</v>
      </c>
      <c r="J33" s="32" t="str">
        <f t="shared" si="16"/>
        <v>2U</v>
      </c>
      <c r="K33" s="33" t="str">
        <f t="shared" si="16"/>
        <v>3Rot</v>
      </c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N33" s="467"/>
      <c r="AO33" s="467" t="s">
        <v>120</v>
      </c>
      <c r="AP33" s="457">
        <f>$E$1</f>
        <v>0</v>
      </c>
      <c r="AQ33" s="47" t="s">
        <v>5</v>
      </c>
      <c r="AR33" s="47" t="s">
        <v>4</v>
      </c>
      <c r="AS33" s="506" t="str">
        <f t="shared" ref="AS33:AV33" si="17">AS1</f>
        <v>R</v>
      </c>
      <c r="AT33" s="31" t="str">
        <f t="shared" si="17"/>
        <v>1Omy</v>
      </c>
      <c r="AU33" s="32" t="str">
        <f t="shared" si="17"/>
        <v>2U</v>
      </c>
      <c r="AV33" s="33" t="str">
        <f t="shared" si="17"/>
        <v>3Rot</v>
      </c>
      <c r="AW33" s="48" t="s">
        <v>23</v>
      </c>
      <c r="AX33" s="48" t="s">
        <v>6</v>
      </c>
      <c r="AY33" s="506" t="str">
        <f t="shared" ref="AY33:BB33" si="18">AY1</f>
        <v>R</v>
      </c>
      <c r="AZ33" s="31" t="str">
        <f t="shared" si="18"/>
        <v>1Omy</v>
      </c>
      <c r="BA33" s="32" t="str">
        <f t="shared" si="18"/>
        <v>2U</v>
      </c>
      <c r="BB33" s="33" t="str">
        <f t="shared" si="18"/>
        <v>3Rot</v>
      </c>
      <c r="BC33" s="167"/>
      <c r="BE33" s="379"/>
      <c r="BF33" s="174"/>
      <c r="BG33" s="452">
        <f>$E$1</f>
        <v>0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6" t="str">
        <f t="shared" ref="BL33:BO33" si="19">BL1</f>
        <v>R</v>
      </c>
      <c r="BM33" s="31" t="str">
        <f t="shared" si="19"/>
        <v>1Omy</v>
      </c>
      <c r="BN33" s="32" t="str">
        <f t="shared" si="19"/>
        <v>2U</v>
      </c>
      <c r="BO33" s="33" t="str">
        <f t="shared" si="19"/>
        <v>3Rot</v>
      </c>
      <c r="BP33" s="452">
        <f>$E$1</f>
        <v>0</v>
      </c>
      <c r="BQ33" s="35" t="str">
        <f>BQ3</f>
        <v>Flux control ratio</v>
      </c>
      <c r="BR33" s="34" t="str">
        <f>BR3</f>
        <v>FCR, relative</v>
      </c>
      <c r="BS33" s="506" t="str">
        <f t="shared" ref="BS33:BV33" si="20">BS1</f>
        <v>R</v>
      </c>
      <c r="BT33" s="31" t="str">
        <f t="shared" si="20"/>
        <v>1Omy</v>
      </c>
      <c r="BU33" s="32" t="str">
        <f t="shared" si="20"/>
        <v>2U</v>
      </c>
      <c r="BV33" s="33" t="str">
        <f t="shared" si="20"/>
        <v>3Rot</v>
      </c>
      <c r="BW33" s="452">
        <f>$E$1</f>
        <v>0</v>
      </c>
      <c r="BX33" s="34" t="str">
        <f>BX3</f>
        <v>Flux control factor</v>
      </c>
      <c r="BY33" s="34" t="str">
        <f>BY3</f>
        <v>FCF, relative</v>
      </c>
      <c r="BZ33" s="506" t="str">
        <f t="shared" ref="BZ33:CC33" si="21">BZ$1</f>
        <v>1-R/U</v>
      </c>
      <c r="CA33" s="31" t="str">
        <f t="shared" si="21"/>
        <v>1-Omy/R</v>
      </c>
      <c r="CB33" s="32" t="str">
        <f t="shared" si="21"/>
        <v>1-Omy/U</v>
      </c>
      <c r="CC33" s="33" t="str">
        <f t="shared" si="21"/>
        <v>1-ROX/U</v>
      </c>
      <c r="CD33" s="452">
        <f>$E$1</f>
        <v>0</v>
      </c>
      <c r="CE33" s="47" t="str">
        <f>CE3</f>
        <v>O2 flow per cells (mt: ROX-corr.)</v>
      </c>
      <c r="CF33" s="47" t="str">
        <f>CF3</f>
        <v>pmol/(s*Mill)</v>
      </c>
      <c r="CG33" s="506" t="str">
        <f t="shared" ref="CG33:CJ33" si="22">CG1</f>
        <v>R</v>
      </c>
      <c r="CH33" s="31" t="str">
        <f t="shared" si="22"/>
        <v>1Omy</v>
      </c>
      <c r="CI33" s="32" t="str">
        <f t="shared" si="22"/>
        <v>2U</v>
      </c>
      <c r="CJ33" s="33" t="str">
        <f t="shared" si="22"/>
        <v>3Rot</v>
      </c>
      <c r="CK33" s="452">
        <f>$E$1</f>
        <v>0</v>
      </c>
      <c r="CL33" s="49" t="str">
        <f>CL3</f>
        <v>FCR (mt:ROX-corr.)</v>
      </c>
      <c r="CM33" s="49" t="str">
        <f>CM3</f>
        <v>relative</v>
      </c>
      <c r="CN33" s="506" t="str">
        <f t="shared" ref="CN33:CQ33" si="23">CN1</f>
        <v>R</v>
      </c>
      <c r="CO33" s="31" t="str">
        <f t="shared" si="23"/>
        <v>1Omy</v>
      </c>
      <c r="CP33" s="32" t="str">
        <f t="shared" si="23"/>
        <v>2U</v>
      </c>
      <c r="CQ33" s="33" t="str">
        <f t="shared" si="23"/>
        <v>3Rot</v>
      </c>
      <c r="CR33" s="452">
        <f>$E$1</f>
        <v>0</v>
      </c>
      <c r="CS33" s="49" t="str">
        <f>CS3</f>
        <v>FCF(mt: ROX-corr.)</v>
      </c>
      <c r="CT33" s="49" t="str">
        <f>CT3</f>
        <v>relative</v>
      </c>
      <c r="CU33" s="506" t="str">
        <f t="shared" ref="CU33:CX33" si="24">CU$1</f>
        <v>1-R/U</v>
      </c>
      <c r="CV33" s="31" t="str">
        <f t="shared" si="24"/>
        <v>1-Omy/R</v>
      </c>
      <c r="CW33" s="32" t="str">
        <f t="shared" si="24"/>
        <v>1-Omy/U</v>
      </c>
      <c r="CX33" s="33" t="str">
        <f t="shared" si="24"/>
        <v>1-ROX/U</v>
      </c>
      <c r="CY33" s="452">
        <f>$E$1</f>
        <v>0</v>
      </c>
    </row>
    <row r="34" spans="1:103" ht="13.8">
      <c r="A34" s="435"/>
      <c r="B34" s="1"/>
      <c r="C34" s="1"/>
      <c r="D34" s="307" t="str">
        <f t="shared" ref="D34:D39" si="25">BG34</f>
        <v>Median</v>
      </c>
      <c r="E34" s="24">
        <f t="shared" ref="E34:E39" si="26">BI34</f>
        <v>2.4</v>
      </c>
      <c r="F34" s="376"/>
      <c r="G34" s="50"/>
      <c r="H34" s="26">
        <f t="shared" ref="H34:K39" si="27">BL34</f>
        <v>28.219432691428572</v>
      </c>
      <c r="I34" s="26">
        <f t="shared" si="27"/>
        <v>8.2858217651682988</v>
      </c>
      <c r="J34" s="26">
        <f t="shared" si="27"/>
        <v>77.125044383287758</v>
      </c>
      <c r="K34" s="26">
        <f t="shared" si="27"/>
        <v>1.4372609318529412</v>
      </c>
      <c r="U34" s="377"/>
      <c r="V34" s="377"/>
      <c r="W34" s="377"/>
      <c r="X34" s="377"/>
      <c r="Y34" s="377"/>
      <c r="Z34" s="378"/>
      <c r="AA34" s="379"/>
      <c r="AB34" s="379"/>
      <c r="AC34" s="379"/>
      <c r="AD34" s="379"/>
      <c r="AE34" s="379"/>
      <c r="AF34" s="379"/>
      <c r="AG34" s="379"/>
      <c r="AH34" s="380"/>
      <c r="AI34" s="381"/>
      <c r="AJ34" s="382"/>
      <c r="AK34" s="382"/>
      <c r="AL34" s="382"/>
      <c r="AM34" s="382"/>
      <c r="AN34" s="383"/>
      <c r="AO34" s="383" t="s">
        <v>94</v>
      </c>
      <c r="AP34" s="452">
        <f>$E$1</f>
        <v>0</v>
      </c>
      <c r="AQ34" s="37" t="s">
        <v>5</v>
      </c>
      <c r="AR34" s="174" t="s">
        <v>34</v>
      </c>
      <c r="AS34" s="26">
        <f t="array" ref="AS34">MEDIAN(IF(ISNUMBER(AS3:AS32),AS3:AS32))</f>
        <v>32.648261959999999</v>
      </c>
      <c r="AT34" s="26">
        <f t="array" ref="AT34">MEDIAN(IF(ISNUMBER(AT3:AT32),AT3:AT32))</f>
        <v>9.784704940000001</v>
      </c>
      <c r="AU34" s="26">
        <f t="array" ref="AU34">MEDIAN(IF(ISNUMBER(AU3:AU32),AU3:AU32))</f>
        <v>88.675106480000011</v>
      </c>
      <c r="AV34" s="26">
        <f t="array" ref="AV34">MEDIAN(IF(ISNUMBER(AV3:AV32),AV3:AV32))</f>
        <v>1.63663972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126.20705000000001</v>
      </c>
      <c r="AZ34" s="348">
        <f t="array" ref="AZ34">MEDIAN(IF(ISNUMBER(AZ3:AZ32),AZ3:AZ32))</f>
        <v>119.11360000000001</v>
      </c>
      <c r="BA34" s="348">
        <f t="array" ref="BA34">MEDIAN(IF(ISNUMBER(BA3:BA32),BA3:BA32))</f>
        <v>71.945324999999997</v>
      </c>
      <c r="BB34" s="348">
        <f t="array" ref="BB34">MEDIAN(IF(ISNUMBER(BB3:BB32),BB3:BB32))</f>
        <v>51.810599999999994</v>
      </c>
      <c r="BC34" s="384"/>
      <c r="BD34" s="314"/>
      <c r="BE34" s="314"/>
      <c r="BF34" s="174"/>
      <c r="BG34" s="296" t="str">
        <f t="shared" ref="BG34:BG39" si="28">$AR34</f>
        <v>Median</v>
      </c>
      <c r="BH34" s="385">
        <f>BI37</f>
        <v>2</v>
      </c>
      <c r="BI34" s="346">
        <f t="array" ref="BI34">MEDIAN(IF(ISNUMBER(BI3:BI32),BI3:BI32))</f>
        <v>2.4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28.219432691428572</v>
      </c>
      <c r="BM34" s="26">
        <f t="array" ref="BM34">MEDIAN(IF(ISNUMBER(BM3:BM32),BM3:BM32))</f>
        <v>8.2858217651682988</v>
      </c>
      <c r="BN34" s="26">
        <f t="array" ref="BN34">MEDIAN(IF(ISNUMBER(BN3:BN32),BN3:BN32))</f>
        <v>77.125044383287758</v>
      </c>
      <c r="BO34" s="26">
        <f t="array" ref="BO34">MEDIAN(IF(ISNUMBER(BO3:BO32),BO3:BO32))</f>
        <v>1.4372609318529412</v>
      </c>
      <c r="BP34" s="452">
        <f>$E$1</f>
        <v>0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0.36903967135925042</v>
      </c>
      <c r="BT34" s="312">
        <f t="array" ref="BT34">MEDIAN(IF(ISNUMBER(BT3:BT32),BT3:BT32))</f>
        <v>0.11209712103269077</v>
      </c>
      <c r="BU34" s="312">
        <f t="array" ref="BU34">MEDIAN(IF(ISNUMBER(BU3:BU32),BU3:BU32))</f>
        <v>1</v>
      </c>
      <c r="BV34" s="312">
        <f t="array" ref="BV34">MEDIAN(IF(ISNUMBER(BV3:BV32),BV3:BV32))</f>
        <v>1.868046969315687E-2</v>
      </c>
      <c r="BW34" s="452">
        <f>$E$1</f>
        <v>0</v>
      </c>
      <c r="BX34" s="51" t="str">
        <f>BX33</f>
        <v>Flux control factor</v>
      </c>
      <c r="BY34" s="174" t="str">
        <f>$AR34</f>
        <v>Median</v>
      </c>
      <c r="BZ34" s="312"/>
      <c r="CA34" s="312">
        <f t="array" ref="CA34">MEDIAN(IF(ISNUMBER(CA3:CA32),CA3:CA32))</f>
        <v>0.6981578879260224</v>
      </c>
      <c r="CB34" s="312">
        <f t="array" ref="CB34">MEDIAN(IF(ISNUMBER(CB3:CB32),CB3:CB32))</f>
        <v>0.88790287896730924</v>
      </c>
      <c r="CC34" s="312">
        <f t="array" ref="CC34">MEDIAN(IF(ISNUMBER(CC3:CC32),CC3:CC32))</f>
        <v>0.98131953030684316</v>
      </c>
      <c r="CD34" s="452">
        <f>$E$1</f>
        <v>0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26.782171759575633</v>
      </c>
      <c r="CH34" s="26">
        <f t="array" ref="CH34">MEDIAN(IF(ISNUMBER(CH3:CH32),CH3:CH32))</f>
        <v>6.8485608333153571</v>
      </c>
      <c r="CI34" s="26">
        <f t="array" ref="CI34">MEDIAN(IF(ISNUMBER(CI3:CI32),CI3:CI32))</f>
        <v>75.687783451434825</v>
      </c>
      <c r="CJ34" s="26">
        <f t="array" ref="CJ34">MEDIAN(IF(ISNUMBER(CJ3:CJ32),CJ3:CJ32))</f>
        <v>0</v>
      </c>
      <c r="CK34" s="452">
        <f>$E$1</f>
        <v>0</v>
      </c>
      <c r="CL34" s="314" t="str">
        <f>CL33</f>
        <v>FCR (mt:ROX-corr.)</v>
      </c>
      <c r="CM34" s="174" t="str">
        <f>$AR34</f>
        <v>Median</v>
      </c>
      <c r="CN34" s="312">
        <f t="array" ref="CN34">MEDIAN(IF(ISNUMBER(CN3:CN32),CN3:CN32))</f>
        <v>0.35707928526121469</v>
      </c>
      <c r="CO34" s="312">
        <f t="array" ref="CO34">MEDIAN(IF(ISNUMBER(CO3:CO32),CO3:CO32))</f>
        <v>9.522679747496246E-2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0</v>
      </c>
      <c r="CS34" s="314" t="str">
        <f>CS33</f>
        <v>FCF(mt: ROX-corr.)</v>
      </c>
      <c r="CT34" s="174" t="str">
        <f>$AR34</f>
        <v>Median</v>
      </c>
      <c r="CU34" s="312"/>
      <c r="CV34" s="312">
        <f t="array" ref="CV34">MEDIAN(IF(ISNUMBER(CV3:CV32),CV3:CV32))</f>
        <v>0.73499113326263965</v>
      </c>
      <c r="CW34" s="312">
        <f t="array" ref="CW34">MEDIAN(IF(ISNUMBER(CW3:CW32),CW3:CW32))</f>
        <v>0.90477320252503757</v>
      </c>
      <c r="CX34" s="312">
        <f t="array" ref="CX34">MEDIAN(IF(ISNUMBER(CX3:CX32),CX3:CX32))</f>
        <v>1</v>
      </c>
      <c r="CY34" s="452">
        <f>$E$1</f>
        <v>0</v>
      </c>
    </row>
    <row r="35" spans="1:103">
      <c r="A35" s="435"/>
      <c r="D35" s="307" t="str">
        <f t="shared" si="25"/>
        <v>Range</v>
      </c>
      <c r="E35" s="349">
        <f t="shared" si="26"/>
        <v>0.79999999999999982</v>
      </c>
      <c r="F35" s="287"/>
      <c r="G35" s="287"/>
      <c r="H35" s="26">
        <f t="shared" si="27"/>
        <v>12.150572697142859</v>
      </c>
      <c r="I35" s="26">
        <f t="shared" si="27"/>
        <v>1.533863783320232</v>
      </c>
      <c r="J35" s="26">
        <f t="shared" si="27"/>
        <v>37.610547588868798</v>
      </c>
      <c r="K35" s="26">
        <f t="shared" si="27"/>
        <v>0.84297835177895819</v>
      </c>
      <c r="U35" s="287"/>
      <c r="V35" s="287"/>
      <c r="W35" s="287"/>
      <c r="X35" s="287"/>
      <c r="Y35" s="287"/>
      <c r="Z35" s="378"/>
      <c r="AA35" s="379"/>
      <c r="AB35" s="379"/>
      <c r="AC35" s="379"/>
      <c r="AD35" s="379"/>
      <c r="AE35" s="379"/>
      <c r="AF35" s="379"/>
      <c r="AG35" s="379"/>
      <c r="AH35" s="379"/>
      <c r="AI35" s="379"/>
      <c r="AJ35" s="287"/>
      <c r="AK35" s="287"/>
      <c r="AL35" s="287"/>
      <c r="AM35" s="287"/>
      <c r="AN35" s="159"/>
      <c r="AO35" s="384"/>
      <c r="AP35" s="386"/>
      <c r="AQ35" s="228"/>
      <c r="AR35" s="228" t="s">
        <v>82</v>
      </c>
      <c r="AS35" s="387">
        <f t="array" ref="AS35">MAX(IF(ISNUMBER(AS3:AS32),AS3:AS32))-MIN(IF(ISNUMBER(AS3:AS32),AS3:AS32))</f>
        <v>3.2929141600000023</v>
      </c>
      <c r="AT35" s="387">
        <f t="array" ref="AT35">MAX(IF(ISNUMBER(AT3:AT32),AT3:AT32))-MIN(IF(ISNUMBER(AT3:AT32),AT3:AT32))</f>
        <v>1.4729553199999987</v>
      </c>
      <c r="AU35" s="387">
        <f t="array" ref="AU35">MAX(IF(ISNUMBER(AU3:AU32),AU3:AU32))-MIN(IF(ISNUMBER(AU3:AU32),AU3:AU32))</f>
        <v>14.270597600000016</v>
      </c>
      <c r="AV35" s="387">
        <f t="array" ref="AV35">MAX(IF(ISNUMBER(AV3:AV32),AV3:AV32))-MIN(IF(ISNUMBER(AV3:AV32),AV3:AV32))</f>
        <v>0.43585640000000003</v>
      </c>
      <c r="AW35" s="379"/>
      <c r="AX35" s="379"/>
      <c r="AY35" s="387">
        <f t="array" ref="AY35">MAX(IF(ISNUMBER(AY3:AY32),AY3:AY32))-MIN(IF(ISNUMBER(AY3:AY32),AY3:AY32))</f>
        <v>11.98660000000001</v>
      </c>
      <c r="AZ35" s="387">
        <f t="array" ref="AZ35">MAX(IF(ISNUMBER(AZ3:AZ32),AZ3:AZ32))-MIN(IF(ISNUMBER(AZ3:AZ32),AZ3:AZ32))</f>
        <v>13.618099999999998</v>
      </c>
      <c r="BA35" s="387">
        <f t="array" ref="BA35">MAX(IF(ISNUMBER(BA3:BA32),BA3:BA32))-MIN(IF(ISNUMBER(BA3:BA32),BA3:BA32))</f>
        <v>26.161249999999995</v>
      </c>
      <c r="BB35" s="387">
        <f t="array" ref="BB35">MAX(IF(ISNUMBER(BB3:BB32),BB3:BB32))-MIN(IF(ISNUMBER(BB3:BB32),BB3:BB32))</f>
        <v>36.089799999999997</v>
      </c>
      <c r="BC35" s="388"/>
      <c r="BD35" s="379"/>
      <c r="BE35" s="379"/>
      <c r="BF35" s="228"/>
      <c r="BG35" s="296" t="str">
        <f t="shared" si="28"/>
        <v>Range</v>
      </c>
      <c r="BH35" s="389"/>
      <c r="BI35" s="390">
        <f t="array" ref="BI35">MAX(IF(ISNUMBER(BI3:BI32),BI3:BI32))-MIN(IF(ISNUMBER(BI3:BI32),BI3:BI32))</f>
        <v>0.79999999999999982</v>
      </c>
      <c r="BJ35" s="379"/>
      <c r="BK35" s="379"/>
      <c r="BL35" s="387">
        <f t="array" ref="BL35">MAX(IF(ISNUMBER(BL3:BL32),BL3:BL32))-MIN(IF(ISNUMBER(BL3:BL32),BL3:BL32))</f>
        <v>12.150572697142859</v>
      </c>
      <c r="BM35" s="387">
        <f t="array" ref="BM35">MAX(IF(ISNUMBER(BM3:BM32),BM3:BM32))-MIN(IF(ISNUMBER(BM3:BM32),BM3:BM32))</f>
        <v>1.533863783320232</v>
      </c>
      <c r="BN35" s="387">
        <f t="array" ref="BN35">MAX(IF(ISNUMBER(BN3:BN32),BN3:BN32))-MIN(IF(ISNUMBER(BN3:BN32),BN3:BN32))</f>
        <v>37.610547588868798</v>
      </c>
      <c r="BO35" s="387">
        <f t="array" ref="BO35">MAX(IF(ISNUMBER(BO3:BO32),BO3:BO32))-MIN(IF(ISNUMBER(BO3:BO32),BO3:BO32))</f>
        <v>0.84297835177895819</v>
      </c>
      <c r="BP35" s="391"/>
      <c r="BQ35" s="379"/>
      <c r="BR35" s="379"/>
      <c r="BS35" s="392">
        <f t="array" ref="BS35">MAX(IF(ISNUMBER(BS3:BS32),BS3:BS32))-MIN(IF(ISNUMBER(BS3:BS32),BS3:BS32))</f>
        <v>2.3087050574425561E-2</v>
      </c>
      <c r="BT35" s="392">
        <f t="array" ref="BT35">MAX(IF(ISNUMBER(BT3:BT32),BT3:BT32))-MIN(IF(ISNUMBER(BT3:BT32),BT3:BT32))</f>
        <v>3.5458213064474303E-2</v>
      </c>
      <c r="BU35" s="392">
        <f t="array" ref="BU35">MAX(IF(ISNUMBER(BU3:BU32),BU3:BU32))-MIN(IF(ISNUMBER(BU3:BU32),BU3:BU32))</f>
        <v>0</v>
      </c>
      <c r="BV35" s="392">
        <f t="array" ref="BV35">MAX(IF(ISNUMBER(BV3:BV32),BV3:BV32))-MIN(IF(ISNUMBER(BV3:BV32),BV3:BV32))</f>
        <v>1.3911494850870239E-3</v>
      </c>
      <c r="BW35" s="391"/>
      <c r="BX35" s="379"/>
      <c r="BY35" s="379"/>
      <c r="BZ35" s="392"/>
      <c r="CA35" s="392">
        <f t="array" ref="CA35">MAX(IF(ISNUMBER(CA3:CA32),CA3:CA32))-MIN(IF(ISNUMBER(CA3:CA32),CA3:CA32))</f>
        <v>7.5745584600003579E-2</v>
      </c>
      <c r="CB35" s="392">
        <f t="array" ref="CB35">MAX(IF(ISNUMBER(CB3:CB32),CB3:CB32))-MIN(IF(ISNUMBER(CB3:CB32),CB3:CB32))</f>
        <v>3.5458213064474275E-2</v>
      </c>
      <c r="CC35" s="392">
        <f t="array" ref="CC35">MAX(IF(ISNUMBER(CC3:CC32),CC3:CC32))-MIN(IF(ISNUMBER(CC3:CC32),CC3:CC32))</f>
        <v>1.3911494850870065E-3</v>
      </c>
      <c r="CD35" s="393"/>
      <c r="CE35" s="379"/>
      <c r="CF35" s="379"/>
      <c r="CG35" s="387">
        <f t="array" ref="CG35">MAX(IF(ISNUMBER(CG3:CG32),CG3:CG32))-MIN(IF(ISNUMBER(CG3:CG32),CG3:CG32))</f>
        <v>11.307594345363896</v>
      </c>
      <c r="CH35" s="387">
        <f t="array" ref="CH35">MAX(IF(ISNUMBER(CH3:CH32),CH3:CH32))-MIN(IF(ISNUMBER(CH3:CH32),CH3:CH32))</f>
        <v>0.69088543154127446</v>
      </c>
      <c r="CI35" s="387">
        <f t="array" ref="CI35">MAX(IF(ISNUMBER(CI3:CI32),CI3:CI32))-MIN(IF(ISNUMBER(CI3:CI32),CI3:CI32))</f>
        <v>36.76756923708983</v>
      </c>
      <c r="CJ35" s="387">
        <f t="array" ref="CJ35">MAX(IF(ISNUMBER(CJ3:CJ32),CJ3:CJ32))-MIN(IF(ISNUMBER(CJ3:CJ32),CJ3:CJ32))</f>
        <v>0</v>
      </c>
      <c r="CK35" s="391"/>
      <c r="CL35" s="379"/>
      <c r="CM35" s="379"/>
      <c r="CN35" s="392">
        <f t="array" ref="CN35">MAX(IF(ISNUMBER(CN3:CN32),CN3:CN32))-MIN(IF(ISNUMBER(CN3:CN32),CN3:CN32))</f>
        <v>2.4556609000357221E-2</v>
      </c>
      <c r="CO35" s="392">
        <f t="array" ref="CO35">MAX(IF(ISNUMBER(CO3:CO32),CO3:CO32))-MIN(IF(ISNUMBER(CO3:CO32),CO3:CO32))</f>
        <v>3.7506138100170186E-2</v>
      </c>
      <c r="CP35" s="392">
        <f t="array" ref="CP35">MAX(IF(ISNUMBER(CP3:CP32),CP3:CP32))-MIN(IF(ISNUMBER(CP3:CP32),CP3:CP32))</f>
        <v>0</v>
      </c>
      <c r="CQ35" s="392">
        <f t="array" ref="CQ35">MAX(IF(ISNUMBER(CQ3:CQ32),CQ3:CQ32))-MIN(IF(ISNUMBER(CQ3:CQ32),CQ3:CQ32))</f>
        <v>0</v>
      </c>
      <c r="CR35" s="391"/>
      <c r="CS35" s="379"/>
      <c r="CT35" s="379"/>
      <c r="CU35" s="392"/>
      <c r="CV35" s="392">
        <f t="array" ref="CV35">MAX(IF(ISNUMBER(CV3:CV32),CV3:CV32))-MIN(IF(ISNUMBER(CV3:CV32),CV3:CV32))</f>
        <v>8.6435883701054372E-2</v>
      </c>
      <c r="CW35" s="392">
        <f t="array" ref="CW35">MAX(IF(ISNUMBER(CW3:CW32),CW3:CW32))-MIN(IF(ISNUMBER(CW3:CW32),CW3:CW32))</f>
        <v>3.7506138100170228E-2</v>
      </c>
      <c r="CX35" s="392">
        <f t="array" ref="CX35">MAX(IF(ISNUMBER(CX3:CX32),CX3:CX32))-MIN(IF(ISNUMBER(CX3:CX32),CX3:CX32))</f>
        <v>0</v>
      </c>
      <c r="CY35" s="391"/>
    </row>
    <row r="36" spans="1:103">
      <c r="A36" s="435"/>
      <c r="D36" s="307" t="str">
        <f t="shared" si="25"/>
        <v>Outlier index</v>
      </c>
      <c r="E36" s="349">
        <f t="shared" si="26"/>
        <v>0</v>
      </c>
      <c r="F36" s="287"/>
      <c r="G36" s="287"/>
      <c r="H36" s="26">
        <f t="shared" si="27"/>
        <v>0</v>
      </c>
      <c r="I36" s="26">
        <f t="shared" si="27"/>
        <v>0</v>
      </c>
      <c r="J36" s="26">
        <f t="shared" si="27"/>
        <v>0</v>
      </c>
      <c r="K36" s="26">
        <f t="shared" si="27"/>
        <v>0</v>
      </c>
      <c r="U36" s="287"/>
      <c r="V36" s="287"/>
      <c r="W36" s="287"/>
      <c r="X36" s="287"/>
      <c r="Y36" s="287"/>
      <c r="Z36" s="378"/>
      <c r="AA36" s="379"/>
      <c r="AB36" s="379"/>
      <c r="AC36" s="379"/>
      <c r="AD36" s="379"/>
      <c r="AE36" s="379"/>
      <c r="AF36" s="379"/>
      <c r="AG36" s="379"/>
      <c r="AH36" s="379"/>
      <c r="AI36" s="379"/>
      <c r="AJ36" s="287"/>
      <c r="AK36" s="287"/>
      <c r="AL36" s="287"/>
      <c r="AM36" s="287"/>
      <c r="AN36" s="159"/>
      <c r="AO36" s="384"/>
      <c r="AP36" s="386"/>
      <c r="AQ36" s="228"/>
      <c r="AR36" s="228" t="s">
        <v>83</v>
      </c>
      <c r="AS36" s="392">
        <f t="array" ref="AS36">(AS34-AS38)/(((AS34+AS38))/2)</f>
        <v>0</v>
      </c>
      <c r="AT36" s="392">
        <f t="array" ref="AT36">(AT34-AT38)/(((AT34+AT38))/2)</f>
        <v>0</v>
      </c>
      <c r="AU36" s="392">
        <f t="array" ref="AU36">(AU34-AU38)/(((AU34+AU38))/2)</f>
        <v>0</v>
      </c>
      <c r="AV36" s="392">
        <f t="array" ref="AV36">(AV34-AV38)/(((AV34+AV38))/2)</f>
        <v>0</v>
      </c>
      <c r="AW36" s="379"/>
      <c r="AX36" s="379"/>
      <c r="AY36" s="392">
        <f>(AY34-AY38)/(((AY34+AY38))/2)</f>
        <v>0</v>
      </c>
      <c r="AZ36" s="392">
        <f t="shared" ref="AZ36:BB36" si="29">(AZ34-AZ38)/(((AZ34+AZ38))/2)</f>
        <v>0</v>
      </c>
      <c r="BA36" s="392">
        <f t="shared" si="29"/>
        <v>0</v>
      </c>
      <c r="BB36" s="392">
        <f t="shared" si="29"/>
        <v>0</v>
      </c>
      <c r="BC36" s="388"/>
      <c r="BD36" s="379"/>
      <c r="BE36" s="379"/>
      <c r="BF36" s="228"/>
      <c r="BG36" s="296" t="str">
        <f t="shared" si="28"/>
        <v>Outlier index</v>
      </c>
      <c r="BH36" s="389"/>
      <c r="BI36" s="392">
        <f>(BI34-BI38)/(((BI34+BI38))/2)</f>
        <v>0</v>
      </c>
      <c r="BJ36" s="379"/>
      <c r="BK36" s="379"/>
      <c r="BL36" s="392">
        <f>(BL34-BL38)/(((BL34+BL38))/2)</f>
        <v>0</v>
      </c>
      <c r="BM36" s="392">
        <f t="shared" ref="BM36:BO36" si="30">(BM34-BM38)/(((BM34+BM38))/2)</f>
        <v>0</v>
      </c>
      <c r="BN36" s="392">
        <f t="shared" si="30"/>
        <v>0</v>
      </c>
      <c r="BO36" s="392">
        <f t="shared" si="30"/>
        <v>0</v>
      </c>
      <c r="BP36" s="391"/>
      <c r="BQ36" s="379"/>
      <c r="BR36" s="379"/>
      <c r="BS36" s="392">
        <f>(BS34-BS38)/(((BS34+BS38))/2)</f>
        <v>0</v>
      </c>
      <c r="BT36" s="392">
        <f t="shared" ref="BT36:BV36" si="31">(BT34-BT38)/(((BT34+BT38))/2)</f>
        <v>0</v>
      </c>
      <c r="BU36" s="392">
        <f t="shared" si="31"/>
        <v>0</v>
      </c>
      <c r="BV36" s="392">
        <f t="shared" si="31"/>
        <v>0</v>
      </c>
      <c r="BW36" s="391"/>
      <c r="BX36" s="379"/>
      <c r="BY36" s="379"/>
      <c r="BZ36" s="392"/>
      <c r="CA36" s="392">
        <f t="shared" ref="CA36:CC36" si="32">(CA34-CA38)/(((CA34+CA38))/2)</f>
        <v>0</v>
      </c>
      <c r="CB36" s="392">
        <f t="shared" si="32"/>
        <v>0</v>
      </c>
      <c r="CC36" s="392">
        <f t="shared" si="32"/>
        <v>0</v>
      </c>
      <c r="CD36" s="393"/>
      <c r="CE36" s="379"/>
      <c r="CF36" s="379"/>
      <c r="CG36" s="392">
        <f>(CG34-CG38)/(((CG34+CG38))/2)</f>
        <v>0</v>
      </c>
      <c r="CH36" s="392">
        <f t="shared" ref="CH36:CJ36" si="33">(CH34-CH38)/(((CH34+CH38))/2)</f>
        <v>0</v>
      </c>
      <c r="CI36" s="392">
        <f t="shared" si="33"/>
        <v>0</v>
      </c>
      <c r="CJ36" s="392" t="e">
        <f t="shared" si="33"/>
        <v>#DIV/0!</v>
      </c>
      <c r="CK36" s="391"/>
      <c r="CL36" s="379"/>
      <c r="CM36" s="379"/>
      <c r="CN36" s="392">
        <f>(CN34-CN38)/(((CN34+CN38))/2)</f>
        <v>0</v>
      </c>
      <c r="CO36" s="392">
        <f t="shared" ref="CO36:CQ36" si="34">(CO34-CO38)/(((CO34+CO38))/2)</f>
        <v>0</v>
      </c>
      <c r="CP36" s="392">
        <f t="shared" si="34"/>
        <v>0</v>
      </c>
      <c r="CQ36" s="392" t="e">
        <f t="shared" si="34"/>
        <v>#DIV/0!</v>
      </c>
      <c r="CR36" s="391"/>
      <c r="CS36" s="379"/>
      <c r="CT36" s="379"/>
      <c r="CU36" s="392"/>
      <c r="CV36" s="392">
        <f t="shared" ref="CV36:CX36" si="35">(CV34-CV38)/(((CV34+CV38))/2)</f>
        <v>0</v>
      </c>
      <c r="CW36" s="392">
        <f t="shared" si="35"/>
        <v>0</v>
      </c>
      <c r="CX36" s="392">
        <f t="shared" si="35"/>
        <v>0</v>
      </c>
      <c r="CY36" s="391"/>
    </row>
    <row r="37" spans="1:103">
      <c r="A37" s="435"/>
      <c r="B37" s="298"/>
      <c r="C37" s="299"/>
      <c r="D37" s="300" t="str">
        <f t="shared" si="25"/>
        <v>n</v>
      </c>
      <c r="E37" s="394">
        <f t="shared" si="26"/>
        <v>2</v>
      </c>
      <c r="F37" s="395"/>
      <c r="G37" s="396"/>
      <c r="H37" s="394">
        <f t="shared" si="27"/>
        <v>2</v>
      </c>
      <c r="I37" s="394">
        <f t="shared" si="27"/>
        <v>2</v>
      </c>
      <c r="J37" s="394">
        <f t="shared" si="27"/>
        <v>2</v>
      </c>
      <c r="K37" s="394">
        <f t="shared" si="27"/>
        <v>2</v>
      </c>
      <c r="U37" s="287"/>
      <c r="V37" s="287"/>
      <c r="W37" s="287"/>
      <c r="X37" s="287"/>
      <c r="Y37" s="287"/>
      <c r="Z37" s="378"/>
      <c r="AA37" s="379"/>
      <c r="AB37" s="379"/>
      <c r="AC37" s="379"/>
      <c r="AD37" s="379"/>
      <c r="AE37" s="379"/>
      <c r="AF37" s="379"/>
      <c r="AG37" s="379"/>
      <c r="AH37" s="380"/>
      <c r="AI37" s="381"/>
      <c r="AJ37" s="382"/>
      <c r="AK37" s="382"/>
      <c r="AL37" s="382"/>
      <c r="AM37" s="382"/>
      <c r="AN37" s="159"/>
      <c r="AO37" s="384"/>
      <c r="AP37" s="386"/>
      <c r="AQ37" s="397"/>
      <c r="AR37" s="290" t="s">
        <v>32</v>
      </c>
      <c r="AS37" s="394">
        <f>COUNT(AS3:AS32)</f>
        <v>2</v>
      </c>
      <c r="AT37" s="394">
        <f t="shared" ref="AT37:AV37" si="36">COUNT(AT3:AT32)</f>
        <v>2</v>
      </c>
      <c r="AU37" s="394">
        <f t="shared" si="36"/>
        <v>2</v>
      </c>
      <c r="AV37" s="394">
        <f t="shared" si="36"/>
        <v>2</v>
      </c>
      <c r="AW37" s="398"/>
      <c r="AX37" s="290" t="str">
        <f>$AR37</f>
        <v>n</v>
      </c>
      <c r="AY37" s="394">
        <f>COUNT(AY3:AY32)</f>
        <v>2</v>
      </c>
      <c r="AZ37" s="394">
        <f t="shared" ref="AZ37:BB37" si="37">COUNT(AZ3:AZ32)</f>
        <v>2</v>
      </c>
      <c r="BA37" s="394">
        <f t="shared" si="37"/>
        <v>2</v>
      </c>
      <c r="BB37" s="394">
        <f t="shared" si="37"/>
        <v>2</v>
      </c>
      <c r="BC37" s="399"/>
      <c r="BD37" s="400"/>
      <c r="BE37" s="400"/>
      <c r="BF37" s="401"/>
      <c r="BG37" s="300" t="str">
        <f t="shared" si="28"/>
        <v>n</v>
      </c>
      <c r="BH37" s="300"/>
      <c r="BI37" s="394">
        <f>COUNT(BI3:BI32)</f>
        <v>2</v>
      </c>
      <c r="BJ37" s="402"/>
      <c r="BK37" s="290" t="str">
        <f>$AR37</f>
        <v>n</v>
      </c>
      <c r="BL37" s="394">
        <f>COUNT(BL3:BL32)</f>
        <v>2</v>
      </c>
      <c r="BM37" s="394">
        <f t="shared" ref="BM37:BO37" si="38">COUNT(BM3:BM32)</f>
        <v>2</v>
      </c>
      <c r="BN37" s="394">
        <f t="shared" si="38"/>
        <v>2</v>
      </c>
      <c r="BO37" s="394">
        <f t="shared" si="38"/>
        <v>2</v>
      </c>
      <c r="BP37" s="160"/>
      <c r="BQ37" s="402"/>
      <c r="BR37" s="290" t="str">
        <f>$AR37</f>
        <v>n</v>
      </c>
      <c r="BS37" s="394">
        <f>COUNT(BS3:BS32)</f>
        <v>2</v>
      </c>
      <c r="BT37" s="394">
        <f t="shared" ref="BT37:BV37" si="39">COUNT(BT3:BT32)</f>
        <v>2</v>
      </c>
      <c r="BU37" s="394">
        <f t="shared" si="39"/>
        <v>2</v>
      </c>
      <c r="BV37" s="394">
        <f t="shared" si="39"/>
        <v>2</v>
      </c>
      <c r="BW37" s="160"/>
      <c r="BX37" s="402"/>
      <c r="BY37" s="290" t="str">
        <f>$AR37</f>
        <v>n</v>
      </c>
      <c r="BZ37" s="394"/>
      <c r="CA37" s="394">
        <f t="shared" ref="CA37:CC37" si="40">COUNT(CA3:CA32)</f>
        <v>2</v>
      </c>
      <c r="CB37" s="394">
        <f t="shared" si="40"/>
        <v>2</v>
      </c>
      <c r="CC37" s="394">
        <f t="shared" si="40"/>
        <v>2</v>
      </c>
      <c r="CD37" s="403"/>
      <c r="CE37" s="402"/>
      <c r="CF37" s="290" t="str">
        <f>$AR37</f>
        <v>n</v>
      </c>
      <c r="CG37" s="394">
        <f>COUNT(CG3:CG32)</f>
        <v>2</v>
      </c>
      <c r="CH37" s="394">
        <f t="shared" ref="CH37:CJ37" si="41">COUNT(CH3:CH32)</f>
        <v>2</v>
      </c>
      <c r="CI37" s="394">
        <f t="shared" si="41"/>
        <v>2</v>
      </c>
      <c r="CJ37" s="394">
        <f t="shared" si="41"/>
        <v>2</v>
      </c>
      <c r="CK37" s="160"/>
      <c r="CL37" s="402"/>
      <c r="CM37" s="290" t="str">
        <f>$AR37</f>
        <v>n</v>
      </c>
      <c r="CN37" s="394">
        <f>COUNT(CN3:CN32)</f>
        <v>2</v>
      </c>
      <c r="CO37" s="394">
        <f t="shared" ref="CO37:CQ37" si="42">COUNT(CO3:CO32)</f>
        <v>2</v>
      </c>
      <c r="CP37" s="394">
        <f t="shared" si="42"/>
        <v>2</v>
      </c>
      <c r="CQ37" s="394">
        <f t="shared" si="42"/>
        <v>2</v>
      </c>
      <c r="CR37" s="160"/>
      <c r="CS37" s="402"/>
      <c r="CT37" s="290" t="str">
        <f>$AR37</f>
        <v>n</v>
      </c>
      <c r="CU37" s="394"/>
      <c r="CV37" s="394">
        <f t="shared" ref="CV37:CX37" si="43">COUNT(CV3:CV32)</f>
        <v>2</v>
      </c>
      <c r="CW37" s="394">
        <f t="shared" si="43"/>
        <v>2</v>
      </c>
      <c r="CX37" s="394">
        <f t="shared" si="43"/>
        <v>2</v>
      </c>
      <c r="CY37" s="391"/>
    </row>
    <row r="38" spans="1:103" s="216" customFormat="1">
      <c r="A38" s="435"/>
      <c r="B38" s="217"/>
      <c r="C38" s="301"/>
      <c r="D38" s="360" t="str">
        <f t="shared" si="25"/>
        <v>Mean</v>
      </c>
      <c r="E38" s="361">
        <f t="shared" si="26"/>
        <v>2.4</v>
      </c>
      <c r="F38" s="362"/>
      <c r="G38" s="363"/>
      <c r="H38" s="364">
        <f t="shared" si="27"/>
        <v>28.219432691428572</v>
      </c>
      <c r="I38" s="364">
        <f t="shared" si="27"/>
        <v>8.2858217651682988</v>
      </c>
      <c r="J38" s="364">
        <f t="shared" si="27"/>
        <v>77.125044383287758</v>
      </c>
      <c r="K38" s="364">
        <f t="shared" si="27"/>
        <v>1.4372609318529412</v>
      </c>
      <c r="L38" s="116"/>
      <c r="M38" s="116"/>
      <c r="N38" s="116"/>
      <c r="O38" s="116"/>
      <c r="P38" s="116"/>
      <c r="Q38" s="116"/>
      <c r="R38" s="116"/>
      <c r="S38" s="116"/>
      <c r="T38" s="116"/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L38" s="222"/>
      <c r="AM38" s="222"/>
      <c r="AN38" s="223"/>
      <c r="AO38" s="223"/>
      <c r="AP38" s="224"/>
      <c r="AQ38" s="225"/>
      <c r="AR38" s="365" t="s">
        <v>24</v>
      </c>
      <c r="AS38" s="366">
        <f t="shared" ref="AS38:AV38" si="44"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32.648261959999999</v>
      </c>
      <c r="AT38" s="366">
        <f t="shared" si="44"/>
        <v>9.784704940000001</v>
      </c>
      <c r="AU38" s="366">
        <f t="shared" si="44"/>
        <v>88.675106480000011</v>
      </c>
      <c r="AV38" s="366">
        <f t="shared" si="44"/>
        <v>1.63663972</v>
      </c>
      <c r="AW38" s="367"/>
      <c r="AX38" s="365" t="str">
        <f>$AR38</f>
        <v>Mean</v>
      </c>
      <c r="AY38" s="366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126.20705000000001</v>
      </c>
      <c r="AZ38" s="366">
        <f t="shared" ref="AZ38:BB38" si="45"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119.11360000000001</v>
      </c>
      <c r="BA38" s="366">
        <f t="shared" si="45"/>
        <v>71.945324999999997</v>
      </c>
      <c r="BB38" s="366">
        <f t="shared" si="45"/>
        <v>51.810599999999994</v>
      </c>
      <c r="BC38" s="368"/>
      <c r="BD38" s="369"/>
      <c r="BE38" s="369"/>
      <c r="BF38" s="370"/>
      <c r="BG38" s="360" t="str">
        <f t="shared" si="28"/>
        <v>Mean</v>
      </c>
      <c r="BH38" s="371">
        <f>BI37</f>
        <v>2</v>
      </c>
      <c r="BI38" s="372">
        <f>AVERAGE(BI3:BI32)</f>
        <v>2.4</v>
      </c>
      <c r="BJ38" s="362"/>
      <c r="BK38" s="365" t="str">
        <f>$AR38</f>
        <v>Mean</v>
      </c>
      <c r="BL38" s="366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28.219432691428572</v>
      </c>
      <c r="BM38" s="366">
        <f t="shared" ref="BM38:BO38" si="46"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8.2858217651682988</v>
      </c>
      <c r="BN38" s="366">
        <f t="shared" si="46"/>
        <v>77.125044383287758</v>
      </c>
      <c r="BO38" s="366">
        <f t="shared" si="46"/>
        <v>1.4372609318529412</v>
      </c>
      <c r="BP38" s="373"/>
      <c r="BQ38" s="369"/>
      <c r="BR38" s="365" t="str">
        <f>$AR38</f>
        <v>Mean</v>
      </c>
      <c r="BS38" s="361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0.36903967135925042</v>
      </c>
      <c r="BT38" s="361">
        <f t="shared" ref="BT38:BV38" si="47"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0.11209712103269077</v>
      </c>
      <c r="BU38" s="361">
        <f t="shared" si="47"/>
        <v>1</v>
      </c>
      <c r="BV38" s="361">
        <f t="shared" si="47"/>
        <v>1.868046969315687E-2</v>
      </c>
      <c r="BW38" s="373"/>
      <c r="BX38" s="365"/>
      <c r="BY38" s="365" t="str">
        <f>$AR38</f>
        <v>Mean</v>
      </c>
      <c r="BZ38" s="361"/>
      <c r="CA38" s="361">
        <f t="shared" ref="CA38:CC38" si="48"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0.6981578879260224</v>
      </c>
      <c r="CB38" s="361">
        <f t="shared" si="48"/>
        <v>0.88790287896730924</v>
      </c>
      <c r="CC38" s="361">
        <f t="shared" si="48"/>
        <v>0.98131953030684316</v>
      </c>
      <c r="CD38" s="373"/>
      <c r="CE38" s="362"/>
      <c r="CF38" s="365" t="str">
        <f>$AR38</f>
        <v>Mean</v>
      </c>
      <c r="CG38" s="366">
        <f>AVERAGE(CG3:CG32)</f>
        <v>26.782171759575633</v>
      </c>
      <c r="CH38" s="366">
        <f t="shared" ref="CH38:CJ38" si="49">AVERAGE(CH3:CH32)</f>
        <v>6.8485608333153571</v>
      </c>
      <c r="CI38" s="366">
        <f t="shared" si="49"/>
        <v>75.687783451434825</v>
      </c>
      <c r="CJ38" s="366">
        <f t="shared" si="49"/>
        <v>0</v>
      </c>
      <c r="CK38" s="373"/>
      <c r="CL38" s="362"/>
      <c r="CM38" s="365" t="str">
        <f>$AR38</f>
        <v>Mean</v>
      </c>
      <c r="CN38" s="361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0.35707928526121469</v>
      </c>
      <c r="CO38" s="361">
        <f t="shared" ref="CO38:CQ38" si="50"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9.522679747496246E-2</v>
      </c>
      <c r="CP38" s="361">
        <f t="shared" si="50"/>
        <v>1</v>
      </c>
      <c r="CQ38" s="361">
        <f t="shared" si="50"/>
        <v>0</v>
      </c>
      <c r="CR38" s="373"/>
      <c r="CS38" s="362"/>
      <c r="CT38" s="365" t="str">
        <f>$AR38</f>
        <v>Mean</v>
      </c>
      <c r="CU38" s="361"/>
      <c r="CV38" s="361">
        <f t="shared" ref="CV38:CX38" si="51"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0.73499113326263965</v>
      </c>
      <c r="CW38" s="361">
        <f t="shared" si="51"/>
        <v>0.90477320252503757</v>
      </c>
      <c r="CX38" s="361">
        <f t="shared" si="51"/>
        <v>1</v>
      </c>
      <c r="CY38" s="374"/>
    </row>
    <row r="39" spans="1:103" s="216" customFormat="1">
      <c r="A39" s="436"/>
      <c r="B39" s="305"/>
      <c r="C39" s="304"/>
      <c r="D39" s="360" t="str">
        <f t="shared" si="25"/>
        <v>SD</v>
      </c>
      <c r="E39" s="361">
        <f t="shared" si="26"/>
        <v>0.56568542494923824</v>
      </c>
      <c r="F39" s="362"/>
      <c r="G39" s="362"/>
      <c r="H39" s="364">
        <f t="shared" si="27"/>
        <v>8.5917523494498518</v>
      </c>
      <c r="I39" s="364">
        <f t="shared" si="27"/>
        <v>1.0846054826021858</v>
      </c>
      <c r="J39" s="364">
        <f t="shared" si="27"/>
        <v>26.594673244228506</v>
      </c>
      <c r="K39" s="364">
        <f t="shared" si="27"/>
        <v>0.59607570893636086</v>
      </c>
      <c r="L39" s="364"/>
      <c r="M39" s="364"/>
      <c r="N39" s="364"/>
      <c r="O39" s="364"/>
      <c r="P39" s="364"/>
      <c r="Q39" s="364"/>
      <c r="R39" s="364"/>
      <c r="S39" s="364"/>
      <c r="T39" s="364"/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365" t="s">
        <v>22</v>
      </c>
      <c r="AS39" s="366">
        <f t="array" ref="AS39">STDEV(IF(ISNUMBER(AS3:AS32),AS3:AS32))</f>
        <v>2.3284419324013648</v>
      </c>
      <c r="AT39" s="366">
        <f t="array" ref="AT39">STDEV(IF(ISNUMBER(AT3:AT32),AT3:AT32))</f>
        <v>1.0415366951567913</v>
      </c>
      <c r="AU39" s="366">
        <f t="array" ref="AU39">STDEV(IF(ISNUMBER(AU3:AU32),AU3:AU32))</f>
        <v>10.090836334544449</v>
      </c>
      <c r="AV39" s="366">
        <f t="array" ref="AV39">STDEV(IF(ISNUMBER(AV3:AV32),AV3:AV32))</f>
        <v>0.30819701606355526</v>
      </c>
      <c r="AW39" s="370"/>
      <c r="AX39" s="365" t="str">
        <f>$AR39</f>
        <v>SD</v>
      </c>
      <c r="AY39" s="366">
        <f t="array" ref="AY39">STDEV(IF(ISNUMBER(AY3:AY32),AY3:AY32))</f>
        <v>8.4758061433704803</v>
      </c>
      <c r="AZ39" s="366">
        <f t="array" ref="AZ39">STDEV(IF(ISNUMBER(AZ3:AZ32),AZ3:AZ32))</f>
        <v>9.629450856876522</v>
      </c>
      <c r="BA39" s="366">
        <f t="array" ref="BA39">STDEV(IF(ISNUMBER(BA3:BA32),BA3:BA32))</f>
        <v>18.49879727931658</v>
      </c>
      <c r="BB39" s="366">
        <f t="array" ref="BB39">STDEV(IF(ISNUMBER(BB3:BB32),BB3:BB32))</f>
        <v>25.51934231166625</v>
      </c>
      <c r="BC39" s="368"/>
      <c r="BD39" s="369"/>
      <c r="BE39" s="369"/>
      <c r="BF39" s="370"/>
      <c r="BG39" s="360" t="str">
        <f t="shared" si="28"/>
        <v>SD</v>
      </c>
      <c r="BH39" s="371">
        <f>BI37</f>
        <v>2</v>
      </c>
      <c r="BI39" s="372">
        <f>STDEV(BI3:BI32)</f>
        <v>0.56568542494923824</v>
      </c>
      <c r="BJ39" s="369"/>
      <c r="BK39" s="365" t="str">
        <f>$AR39</f>
        <v>SD</v>
      </c>
      <c r="BL39" s="366">
        <f t="array" ref="BL39">STDEV(IF(ISNUMBER(BL3:BL32),BL3:BL32))</f>
        <v>8.5917523494498518</v>
      </c>
      <c r="BM39" s="366">
        <f t="array" ref="BM39">STDEV(IF(ISNUMBER(BM3:BM32),BM3:BM32))</f>
        <v>1.0846054826021858</v>
      </c>
      <c r="BN39" s="366">
        <f t="array" ref="BN39">STDEV(IF(ISNUMBER(BN3:BN32),BN3:BN32))</f>
        <v>26.594673244228506</v>
      </c>
      <c r="BO39" s="366">
        <f t="array" ref="BO39">STDEV(IF(ISNUMBER(BO3:BO32),BO3:BO32))</f>
        <v>0.59607570893636086</v>
      </c>
      <c r="BP39" s="373"/>
      <c r="BQ39" s="369"/>
      <c r="BR39" s="365" t="str">
        <f>$AR39</f>
        <v>SD</v>
      </c>
      <c r="BS39" s="361">
        <f t="array" ref="BS39">STDEV(IF(ISNUMBER(BS3:BS32),BS3:BS32))</f>
        <v>1.6325010018773092E-2</v>
      </c>
      <c r="BT39" s="361">
        <f t="array" ref="BT39">STDEV(IF(ISNUMBER(BT3:BT32),BT3:BT32))</f>
        <v>2.5072742906647238E-2</v>
      </c>
      <c r="BU39" s="361">
        <f t="array" ref="BU39">STDEV(IF(ISNUMBER(BU3:BU32),BU3:BU32))</f>
        <v>0</v>
      </c>
      <c r="BV39" s="361">
        <f t="array" ref="BV39">STDEV(IF(ISNUMBER(BV3:BV32),BV3:BV32))</f>
        <v>9.8369123454920848E-4</v>
      </c>
      <c r="BW39" s="373"/>
      <c r="BX39" s="365"/>
      <c r="BY39" s="365" t="str">
        <f>$AR39</f>
        <v>SD</v>
      </c>
      <c r="BZ39" s="361"/>
      <c r="CA39" s="361">
        <f t="array" ref="CA39">STDEV(IF(ISNUMBER(CA3:CA32),CA3:CA32))</f>
        <v>5.3560216515603672E-2</v>
      </c>
      <c r="CB39" s="361">
        <f t="array" ref="CB39">STDEV(IF(ISNUMBER(CB3:CB32),CB3:CB32))</f>
        <v>2.507274290664719E-2</v>
      </c>
      <c r="CC39" s="361">
        <f t="array" ref="CC39">STDEV(IF(ISNUMBER(CC3:CC32),CC3:CC32))</f>
        <v>9.8369123454919633E-4</v>
      </c>
      <c r="CD39" s="373"/>
      <c r="CE39" s="375"/>
      <c r="CF39" s="365" t="str">
        <f>$AR39</f>
        <v>SD</v>
      </c>
      <c r="CG39" s="366">
        <f t="array" ref="CG39">STDEV(IF(ISNUMBER(CG3:CG32),CG3:CG32))</f>
        <v>7.9956766405134747</v>
      </c>
      <c r="CH39" s="366">
        <f t="array" ref="CH39">STDEV(IF(ISNUMBER(CH3:CH32),CH3:CH32))</f>
        <v>0.48852977366583955</v>
      </c>
      <c r="CI39" s="366">
        <f t="array" ref="CI39">STDEV(IF(ISNUMBER(CI3:CI32),CI3:CI32))</f>
        <v>25.998597535292074</v>
      </c>
      <c r="CJ39" s="366">
        <f t="array" ref="CJ39">STDEV(IF(ISNUMBER(CJ3:CJ32),CJ3:CJ32))</f>
        <v>0</v>
      </c>
      <c r="CK39" s="373"/>
      <c r="CL39" s="375"/>
      <c r="CM39" s="365" t="str">
        <f>$AR39</f>
        <v>SD</v>
      </c>
      <c r="CN39" s="361">
        <f t="array" ref="CN39">STDEV(IF(ISNUMBER(CN3:CN32),CN3:CN32))</f>
        <v>1.7364144747099197E-2</v>
      </c>
      <c r="CO39" s="361">
        <f t="array" ref="CO39">STDEV(IF(ISNUMBER(CO3:CO32),CO3:CO32))</f>
        <v>2.6520844586749491E-2</v>
      </c>
      <c r="CP39" s="361">
        <f t="array" ref="CP39">STDEV(IF(ISNUMBER(CP3:CP32),CP3:CP32))</f>
        <v>0</v>
      </c>
      <c r="CQ39" s="361">
        <f t="array" ref="CQ39">STDEV(IF(ISNUMBER(CQ3:CQ32),CQ3:CQ32))</f>
        <v>0</v>
      </c>
      <c r="CR39" s="373"/>
      <c r="CS39" s="375"/>
      <c r="CT39" s="365" t="str">
        <f>$AR39</f>
        <v>SD</v>
      </c>
      <c r="CU39" s="361"/>
      <c r="CV39" s="361">
        <f t="array" ref="CV39">STDEV(IF(ISNUMBER(CV3:CV32),CV3:CV32))</f>
        <v>6.1119399502866635E-2</v>
      </c>
      <c r="CW39" s="361">
        <f t="array" ref="CW39">STDEV(IF(ISNUMBER(CW3:CW32),CW3:CW32))</f>
        <v>2.6520844586749501E-2</v>
      </c>
      <c r="CX39" s="361">
        <f t="array" ref="CX39">STDEV(IF(ISNUMBER(CX3:CX32),CX3:CX32))</f>
        <v>0</v>
      </c>
      <c r="CY39" s="374"/>
    </row>
    <row r="40" spans="1:103" ht="13.8" thickBot="1">
      <c r="A40" s="464" t="s">
        <v>121</v>
      </c>
      <c r="B40" s="437" t="str">
        <f>$G$22</f>
        <v>DatLab 7 Template 16-07-20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</sheetData>
  <conditionalFormatting sqref="CU34:CX34 CN34:CQ34 CG34:CJ34 BZ34:CC34 BZ9:CA10 CB3:CC10 BS34:BV34 BI34 BL34:BO34 BH3:BI8 AU10 AV3:AV10 AS34:AV34 AS3:AT10 AY3:AY8 AZ3:BB10 AT3:AV8 AY4:BB8 BL3:BO10 BS3:BV10 BZ3:CC8 CG3:CJ10 CN3:CQ10 CU3:CX10">
    <cfRule type="containsErrors" dxfId="33" priority="22" stopIfTrue="1">
      <formula>ISERROR(AS3)</formula>
    </cfRule>
  </conditionalFormatting>
  <conditionalFormatting sqref="AS34:AV34">
    <cfRule type="containsErrors" dxfId="32" priority="21" stopIfTrue="1">
      <formula>ISERROR(AS34)</formula>
    </cfRule>
  </conditionalFormatting>
  <conditionalFormatting sqref="AS4:AV8">
    <cfRule type="containsErrors" dxfId="31" priority="20" stopIfTrue="1">
      <formula>ISERROR(AS4)</formula>
    </cfRule>
  </conditionalFormatting>
  <conditionalFormatting sqref="AY4:BB8">
    <cfRule type="containsErrors" dxfId="30" priority="19" stopIfTrue="1">
      <formula>ISERROR(AY4)</formula>
    </cfRule>
  </conditionalFormatting>
  <conditionalFormatting sqref="BL4:BO8">
    <cfRule type="containsErrors" dxfId="29" priority="18" stopIfTrue="1">
      <formula>ISERROR(BL4)</formula>
    </cfRule>
  </conditionalFormatting>
  <conditionalFormatting sqref="BS4:BV8">
    <cfRule type="containsErrors" dxfId="28" priority="17" stopIfTrue="1">
      <formula>ISERROR(BS4)</formula>
    </cfRule>
  </conditionalFormatting>
  <conditionalFormatting sqref="BS4:BV4">
    <cfRule type="containsErrors" dxfId="27" priority="16" stopIfTrue="1">
      <formula>ISERROR(BS4)</formula>
    </cfRule>
  </conditionalFormatting>
  <conditionalFormatting sqref="BS4:BV8">
    <cfRule type="containsErrors" dxfId="26" priority="15" stopIfTrue="1">
      <formula>ISERROR(BS4)</formula>
    </cfRule>
  </conditionalFormatting>
  <conditionalFormatting sqref="BZ4:CC8">
    <cfRule type="containsErrors" dxfId="25" priority="14" stopIfTrue="1">
      <formula>ISERROR(BZ4)</formula>
    </cfRule>
  </conditionalFormatting>
  <conditionalFormatting sqref="BZ4:CC4">
    <cfRule type="containsErrors" dxfId="24" priority="13" stopIfTrue="1">
      <formula>ISERROR(BZ4)</formula>
    </cfRule>
  </conditionalFormatting>
  <conditionalFormatting sqref="BZ4:CC8">
    <cfRule type="containsErrors" dxfId="23" priority="12" stopIfTrue="1">
      <formula>ISERROR(BZ4)</formula>
    </cfRule>
  </conditionalFormatting>
  <conditionalFormatting sqref="CG4:CJ8">
    <cfRule type="containsErrors" dxfId="22" priority="11" stopIfTrue="1">
      <formula>ISERROR(CG4)</formula>
    </cfRule>
  </conditionalFormatting>
  <conditionalFormatting sqref="CG4:CJ4">
    <cfRule type="containsErrors" dxfId="21" priority="10" stopIfTrue="1">
      <formula>ISERROR(CG4)</formula>
    </cfRule>
  </conditionalFormatting>
  <conditionalFormatting sqref="CG4:CJ8">
    <cfRule type="containsErrors" dxfId="20" priority="9" stopIfTrue="1">
      <formula>ISERROR(CG4)</formula>
    </cfRule>
  </conditionalFormatting>
  <conditionalFormatting sqref="CN4:CQ8">
    <cfRule type="containsErrors" dxfId="19" priority="8" stopIfTrue="1">
      <formula>ISERROR(CN4)</formula>
    </cfRule>
  </conditionalFormatting>
  <conditionalFormatting sqref="CN4:CQ4">
    <cfRule type="containsErrors" dxfId="18" priority="7" stopIfTrue="1">
      <formula>ISERROR(CN4)</formula>
    </cfRule>
  </conditionalFormatting>
  <conditionalFormatting sqref="CN4:CQ8">
    <cfRule type="containsErrors" dxfId="17" priority="6" stopIfTrue="1">
      <formula>ISERROR(CN4)</formula>
    </cfRule>
  </conditionalFormatting>
  <conditionalFormatting sqref="CU4:CX8">
    <cfRule type="containsErrors" dxfId="16" priority="5" stopIfTrue="1">
      <formula>ISERROR(CU4)</formula>
    </cfRule>
  </conditionalFormatting>
  <conditionalFormatting sqref="CU4:CX4">
    <cfRule type="containsErrors" dxfId="15" priority="4" stopIfTrue="1">
      <formula>ISERROR(CU4)</formula>
    </cfRule>
  </conditionalFormatting>
  <conditionalFormatting sqref="CU4:CX8">
    <cfRule type="containsErrors" dxfId="14" priority="3" stopIfTrue="1">
      <formula>ISERROR(CU4)</formula>
    </cfRule>
  </conditionalFormatting>
  <conditionalFormatting sqref="BH4:BI9">
    <cfRule type="containsErrors" dxfId="13" priority="2" stopIfTrue="1">
      <formula>ISERROR(BH4)</formula>
    </cfRule>
  </conditionalFormatting>
  <conditionalFormatting sqref="BH3:BI8">
    <cfRule type="containsErrors" dxfId="12" priority="1" stopIfTrue="1">
      <formula>ISERROR(BH3)</formula>
    </cfRule>
  </conditionalFormatting>
  <hyperlinks>
    <hyperlink ref="A33" location="Tables_Sample_statistics" display="→ Tables: Sample statistics"/>
    <hyperlink ref="G23" location="Cohort!AQ21" display="→ Coupling-pathway control diagram"/>
    <hyperlink ref="AM11" location="Sample_statistics" display="é Sample statistics"/>
    <hyperlink ref="F2" r:id="rId1" display="SUIT protocol"/>
    <hyperlink ref="A40" location="Sample_statistics" display="é Sample statistics"/>
    <hyperlink ref="A1" location="Cohort!B3" display="• Cohort"/>
    <hyperlink ref="AO33" location="Sample_statistics" display="← Sample statistics"/>
    <hyperlink ref="D4" location="'# 2-439'!B3" display="'# 2-439'!B3"/>
    <hyperlink ref="D5" location="'#3-439'!B3" display="'#3-439'!B3"/>
    <hyperlink ref="D6" location="'#4-439'!B3" display="'#4-439'!B3"/>
    <hyperlink ref="D7" location="'#5-439'!B3" display="'#5-439'!B3"/>
    <hyperlink ref="D8" location="'#6-439'!B3" display="'#6-439'!B3"/>
    <hyperlink ref="A2" location="Navigation!B3" display="↗ Navigation"/>
    <hyperlink ref="G2" r:id="rId2"/>
    <hyperlink ref="D3" location="'#1-439'!B3" display="'#1-439'!B3"/>
  </hyperlinks>
  <pageMargins left="0.7" right="0.7" top="0.78740157499999996" bottom="0.78740157499999996" header="0.3" footer="0.3"/>
  <pageSetup paperSize="9" orientation="portrait" r:id="rId3"/>
  <drawing r:id="rId4"/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209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>
        <f>IF(ISNUMBER(AB50),AB50,"")</f>
        <v>1</v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1</v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>
        <f>$E$1</f>
        <v>1</v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>
        <f>$E$1</f>
        <v>1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>
        <f>$E$1</f>
        <v>1</v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>
        <f>$E$1</f>
        <v>1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1</v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>
        <f>$E$1</f>
        <v>1</v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>
        <f>$E$1</f>
        <v>1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1</v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1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1.01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34.294719040000004</v>
      </c>
      <c r="AT3" s="38">
        <f t="shared" ref="AT3:AV3" si="0">IF(ISNUMBER(AT51),AT51,NA())</f>
        <v>9.0482272800000008</v>
      </c>
      <c r="AU3" s="38">
        <f t="shared" si="0"/>
        <v>95.810405280000012</v>
      </c>
      <c r="AV3" s="38">
        <f t="shared" si="0"/>
        <v>1.85456792</v>
      </c>
      <c r="AW3" s="354" t="str">
        <f>AW51</f>
        <v>2B: O2 concentration</v>
      </c>
      <c r="AX3" s="354" t="str">
        <f>AX51</f>
        <v>µM</v>
      </c>
      <c r="AY3" s="353">
        <f>IF(ISNUMBER(AY51),AY51,NA())</f>
        <v>112.8794</v>
      </c>
      <c r="AZ3" s="353">
        <f t="shared" ref="AZ3:BB3" si="1">IF(ISNUMBER(AZ51),AZ51,NA())</f>
        <v>108.6833</v>
      </c>
      <c r="BA3" s="353">
        <f t="shared" si="1"/>
        <v>103.9508</v>
      </c>
      <c r="BB3" s="353">
        <f t="shared" si="1"/>
        <v>28.838699999999999</v>
      </c>
      <c r="BC3" s="140">
        <f>BC51</f>
        <v>0</v>
      </c>
      <c r="BD3" s="141" t="str">
        <f>BD51</f>
        <v>2005-04-09 EF-01A.DLD</v>
      </c>
      <c r="BE3" s="141">
        <f>BE51</f>
        <v>0</v>
      </c>
      <c r="BF3" s="142">
        <f>BF51</f>
        <v>0</v>
      </c>
      <c r="BG3" s="143">
        <f>$AP51</f>
        <v>1.01</v>
      </c>
      <c r="BH3" s="143"/>
      <c r="BI3" s="144">
        <f>BI51</f>
        <v>2</v>
      </c>
      <c r="BJ3" s="356" t="str">
        <f>BJ51</f>
        <v>O2 flow per cells</v>
      </c>
      <c r="BK3" s="356" t="str">
        <f>BK51</f>
        <v>pmol/(s*Mill)</v>
      </c>
      <c r="BL3" s="38">
        <f>IF(ISNUMBER(BL51),BL51,NA())</f>
        <v>34.294719040000004</v>
      </c>
      <c r="BM3" s="38">
        <f t="shared" ref="BM3:BO3" si="2">IF(ISNUMBER(BM51),BM51,NA())</f>
        <v>9.0527536568284148</v>
      </c>
      <c r="BN3" s="38">
        <f t="shared" si="2"/>
        <v>95.930318177722157</v>
      </c>
      <c r="BO3" s="38">
        <f t="shared" si="2"/>
        <v>1.8587501077424204</v>
      </c>
      <c r="BP3" s="143">
        <f>$AP51</f>
        <v>1.01</v>
      </c>
      <c r="BQ3" s="357" t="str">
        <f>BQ51</f>
        <v>Flux control ratio</v>
      </c>
      <c r="BR3" s="357" t="str">
        <f>BR51</f>
        <v>FCR, relative</v>
      </c>
      <c r="BS3" s="315">
        <f>IF(ISNUMBER(BS51),BS51,NA())</f>
        <v>0.35749614607203761</v>
      </c>
      <c r="BT3" s="315">
        <f t="shared" ref="BT3:BV3" si="3">IF(ISNUMBER(BT51),BT51,NA())</f>
        <v>9.4368014500453623E-2</v>
      </c>
      <c r="BU3" s="315">
        <f t="shared" si="3"/>
        <v>1</v>
      </c>
      <c r="BV3" s="315">
        <f t="shared" si="3"/>
        <v>1.9376044435700381E-2</v>
      </c>
      <c r="BW3" s="143">
        <f>$AP51</f>
        <v>1.01</v>
      </c>
      <c r="BX3" s="357" t="str">
        <f>BX51</f>
        <v>Flux control factor</v>
      </c>
      <c r="BY3" s="357" t="str">
        <f>BY51</f>
        <v>FCF, relative</v>
      </c>
      <c r="BZ3" s="315">
        <f>IF(ISNUMBER(BZ51),BZ51,NA())</f>
        <v>0.64250385392796239</v>
      </c>
      <c r="CA3" s="315">
        <f t="shared" ref="CA3:CC3" si="4">IF(ISNUMBER(CA51),CA51,NA())</f>
        <v>0.73603068022602425</v>
      </c>
      <c r="CB3" s="315">
        <f t="shared" si="4"/>
        <v>0.90563198549954638</v>
      </c>
      <c r="CC3" s="315">
        <f t="shared" si="4"/>
        <v>0.9806239555642996</v>
      </c>
      <c r="CD3" s="143">
        <f>$AP51</f>
        <v>1.01</v>
      </c>
      <c r="CE3" s="356" t="str">
        <f>CE51</f>
        <v>O2 flow per cells (mt: ROX-corr.)</v>
      </c>
      <c r="CF3" s="356" t="str">
        <f>CF51</f>
        <v>pmol/(s*Mill)</v>
      </c>
      <c r="CG3" s="38">
        <f>IF(ISNUMBER(CG51),CG51,NA())</f>
        <v>32.43596893225758</v>
      </c>
      <c r="CH3" s="38">
        <f t="shared" ref="CH3:CJ3" si="5">IF(ISNUMBER(CH51),CH51,NA())</f>
        <v>7.1940035490859948</v>
      </c>
      <c r="CI3" s="38">
        <f t="shared" si="5"/>
        <v>94.071568069979733</v>
      </c>
      <c r="CJ3" s="38">
        <f t="shared" si="5"/>
        <v>0</v>
      </c>
      <c r="CK3" s="143">
        <f>$AP51</f>
        <v>1.01</v>
      </c>
      <c r="CL3" s="357" t="str">
        <f>CL51</f>
        <v>FCR (mt: ROX-corr.)</v>
      </c>
      <c r="CM3" s="357" t="str">
        <f>CM51</f>
        <v>relative</v>
      </c>
      <c r="CN3" s="315">
        <f>IF(ISNUMBER(CN51),CN51,NA())</f>
        <v>0.3448009807610361</v>
      </c>
      <c r="CO3" s="315">
        <f t="shared" ref="CO3:CQ3" si="6">IF(ISNUMBER(CO51),CO51,NA())</f>
        <v>7.647372842487736E-2</v>
      </c>
      <c r="CP3" s="315">
        <f t="shared" si="6"/>
        <v>1</v>
      </c>
      <c r="CQ3" s="315">
        <f t="shared" si="6"/>
        <v>0</v>
      </c>
      <c r="CR3" s="143">
        <f>$AP51</f>
        <v>1.01</v>
      </c>
      <c r="CS3" s="357" t="str">
        <f>CS51</f>
        <v>FCF (mt: ROX-corr.)</v>
      </c>
      <c r="CT3" s="357" t="str">
        <f>CT51</f>
        <v>relative</v>
      </c>
      <c r="CU3" s="315">
        <f>IF(ISNUMBER(CU51),CU51,NA())</f>
        <v>0.65519901923896384</v>
      </c>
      <c r="CV3" s="315">
        <f t="shared" ref="CV3:CX3" si="7">IF(ISNUMBER(CV51),CV51,NA())</f>
        <v>0.77820907511316684</v>
      </c>
      <c r="CW3" s="315">
        <f t="shared" si="7"/>
        <v>0.92352627157512268</v>
      </c>
      <c r="CX3" s="315">
        <f t="shared" si="7"/>
        <v>1</v>
      </c>
      <c r="CY3" s="143">
        <f>$AP51</f>
        <v>1.01</v>
      </c>
    </row>
    <row r="4" spans="1:116">
      <c r="A4" s="473" t="s">
        <v>99</v>
      </c>
      <c r="B4" s="288" t="str">
        <f>B41</f>
        <v>2005-04-09 EF-01A.DLD</v>
      </c>
      <c r="C4" s="166" t="str">
        <f>IF(ISTEXT(C42),C42,"")</f>
        <v/>
      </c>
      <c r="D4" s="166" t="str">
        <f>IF(ISTEXT(D42),D42,"")</f>
        <v/>
      </c>
      <c r="E4" s="240">
        <f>E42</f>
        <v>1.01</v>
      </c>
      <c r="F4" s="166" t="str">
        <f>IF(ISTEXT(G41),G41,"")</f>
        <v>2B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>
        <f>AK18</f>
        <v>9.4368014500453623E-2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>
        <f>AJ18</f>
        <v>0.35749614607203761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0.35749614607203761</v>
      </c>
      <c r="AK18" s="212">
        <f>BT34</f>
        <v>9.4368014500453623E-2</v>
      </c>
      <c r="AL18" s="212">
        <f>BU34</f>
        <v>1</v>
      </c>
      <c r="AM18" s="212">
        <f>BV34</f>
        <v>1.9376044435700381E-2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>
        <f>$E$1</f>
        <v>1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>
        <f>$E$1</f>
        <v>1</v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>
        <f>$E$1</f>
        <v>1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>
        <f>$E$1</f>
        <v>1</v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>
        <f>$E$1</f>
        <v>1</v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>
        <f>$E$1</f>
        <v>1</v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>
        <f>$E$1</f>
        <v>1</v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>
        <f>$E$1</f>
        <v>1</v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>
        <f>$E$1</f>
        <v>1</v>
      </c>
    </row>
    <row r="34" spans="1:104">
      <c r="A34" s="435"/>
      <c r="B34" s="1"/>
      <c r="C34" s="1"/>
      <c r="D34" s="307" t="str">
        <f t="shared" ref="D34:D39" si="67">BG34</f>
        <v>Median</v>
      </c>
      <c r="E34" s="297">
        <f t="shared" ref="E34:E39" si="68">BI34</f>
        <v>2</v>
      </c>
      <c r="F34" s="1"/>
      <c r="G34" s="50"/>
      <c r="H34" s="26">
        <f t="shared" ref="H34:K39" si="69">BL34</f>
        <v>34.294719040000004</v>
      </c>
      <c r="I34" s="26">
        <f t="shared" si="69"/>
        <v>9.0527536568284148</v>
      </c>
      <c r="J34" s="26">
        <f t="shared" si="69"/>
        <v>95.930318177722157</v>
      </c>
      <c r="K34" s="26">
        <f t="shared" si="69"/>
        <v>1.8587501077424204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>
        <f>$E$1</f>
        <v>1</v>
      </c>
      <c r="AQ34" s="37" t="s">
        <v>5</v>
      </c>
      <c r="AR34" s="174" t="s">
        <v>34</v>
      </c>
      <c r="AS34" s="38">
        <f t="array" ref="AS34">MEDIAN(IF(ISNUMBER(AS3:AS32),AS3:AS32))</f>
        <v>34.294719040000004</v>
      </c>
      <c r="AT34" s="38">
        <f t="array" ref="AT34">MEDIAN(IF(ISNUMBER(AT3:AT32),AT3:AT32))</f>
        <v>9.0482272800000008</v>
      </c>
      <c r="AU34" s="38">
        <f t="array" ref="AU34">MEDIAN(IF(ISNUMBER(AU3:AU32),AU3:AU32))</f>
        <v>95.810405280000012</v>
      </c>
      <c r="AV34" s="38">
        <f t="array" ref="AV34">MEDIAN(IF(ISNUMBER(AV3:AV32),AV3:AV32))</f>
        <v>1.85456792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112.8794</v>
      </c>
      <c r="AZ34" s="348">
        <f t="array" ref="AZ34">MEDIAN(IF(ISNUMBER(AZ3:AZ32),AZ3:AZ32))</f>
        <v>108.6833</v>
      </c>
      <c r="BA34" s="348">
        <f t="array" ref="BA34">MEDIAN(IF(ISNUMBER(BA3:BA32),BA3:BA32))</f>
        <v>103.9508</v>
      </c>
      <c r="BB34" s="348">
        <f t="array" ref="BB34">MEDIAN(IF(ISNUMBER(BB3:BB32),BB3:BB32))</f>
        <v>28.838699999999999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1</v>
      </c>
      <c r="BI34" s="346">
        <f t="array" ref="BI34">MEDIAN(IF(ISNUMBER(BI3:BI32),BI3:BI32))</f>
        <v>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34.294719040000004</v>
      </c>
      <c r="BM34" s="26">
        <f t="array" ref="BM34">MEDIAN(IF(ISNUMBER(BM3:BM32),BM3:BM32))</f>
        <v>9.0527536568284148</v>
      </c>
      <c r="BN34" s="26">
        <f t="array" ref="BN34">MEDIAN(IF(ISNUMBER(BN3:BN32),BN3:BN32))</f>
        <v>95.930318177722157</v>
      </c>
      <c r="BO34" s="26">
        <f t="array" ref="BO34">MEDIAN(IF(ISNUMBER(BO3:BO32),BO3:BO32))</f>
        <v>1.8587501077424204</v>
      </c>
      <c r="BP34" s="452">
        <f>$E$1</f>
        <v>1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0.35749614607203761</v>
      </c>
      <c r="BT34" s="312">
        <f t="array" ref="BT34">MEDIAN(IF(ISNUMBER(BT3:BT32),BT3:BT32))</f>
        <v>9.4368014500453623E-2</v>
      </c>
      <c r="BU34" s="312">
        <f t="array" ref="BU34">MEDIAN(IF(ISNUMBER(BU3:BU32),BU3:BU32))</f>
        <v>1</v>
      </c>
      <c r="BV34" s="312">
        <f t="array" ref="BV34">MEDIAN(IF(ISNUMBER(BV3:BV32),BV3:BV32))</f>
        <v>1.9376044435700381E-2</v>
      </c>
      <c r="BW34" s="452">
        <f>$E$1</f>
        <v>1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0.64250385392796239</v>
      </c>
      <c r="CA34" s="312">
        <f t="array" ref="CA34">MEDIAN(IF(ISNUMBER(CA3:CA32),CA3:CA32))</f>
        <v>0.73603068022602425</v>
      </c>
      <c r="CB34" s="312">
        <f t="array" ref="CB34">MEDIAN(IF(ISNUMBER(CB3:CB32),CB3:CB32))</f>
        <v>0.90563198549954638</v>
      </c>
      <c r="CC34" s="312">
        <f t="array" ref="CC34">MEDIAN(IF(ISNUMBER(CC3:CC32),CC3:CC32))</f>
        <v>0.9806239555642996</v>
      </c>
      <c r="CD34" s="452">
        <f>$E$1</f>
        <v>1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32.43596893225758</v>
      </c>
      <c r="CH34" s="26">
        <f t="array" ref="CH34">MEDIAN(IF(ISNUMBER(CH3:CH32),CH3:CH32))</f>
        <v>7.1940035490859948</v>
      </c>
      <c r="CI34" s="26">
        <f t="array" ref="CI34">MEDIAN(IF(ISNUMBER(CI3:CI32),CI3:CI32))</f>
        <v>94.071568069979733</v>
      </c>
      <c r="CJ34" s="26">
        <f t="array" ref="CJ34">MEDIAN(IF(ISNUMBER(CJ3:CJ32),CJ3:CJ32))</f>
        <v>0</v>
      </c>
      <c r="CK34" s="452">
        <f>$E$1</f>
        <v>1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0.3448009807610361</v>
      </c>
      <c r="CO34" s="312">
        <f t="array" ref="CO34">MEDIAN(IF(ISNUMBER(CO3:CO32),CO3:CO32))</f>
        <v>7.647372842487736E-2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1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0.65519901923896384</v>
      </c>
      <c r="CV34" s="312">
        <f t="array" ref="CV34">MEDIAN(IF(ISNUMBER(CV3:CV32),CV3:CV32))</f>
        <v>0.77820907511316684</v>
      </c>
      <c r="CW34" s="312">
        <f t="array" ref="CW34">MEDIAN(IF(ISNUMBER(CW3:CW32),CW3:CW32))</f>
        <v>0.92352627157512268</v>
      </c>
      <c r="CX34" s="312">
        <f t="array" ref="CX34">MEDIAN(IF(ISNUMBER(CX3:CX32),CX3:CX32))</f>
        <v>1</v>
      </c>
      <c r="CY34" s="452">
        <f>$E$1</f>
        <v>1</v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69"/>
        <v>0</v>
      </c>
      <c r="J36" s="38">
        <f t="shared" si="69"/>
        <v>0</v>
      </c>
      <c r="K36" s="38">
        <f t="shared" si="69"/>
        <v>0</v>
      </c>
      <c r="AN36" s="117"/>
      <c r="AO36" s="157"/>
      <c r="AP36" s="173"/>
      <c r="AR36" s="128" t="s">
        <v>83</v>
      </c>
      <c r="AS36" s="229">
        <f>(AS34-AS38)/(((AS34+AS38))/2)</f>
        <v>0</v>
      </c>
      <c r="AT36" s="229">
        <f t="shared" ref="AT36:AV36" si="71">(AT34-AT38)/(((AT34+AT38))/2)</f>
        <v>0</v>
      </c>
      <c r="AU36" s="229">
        <f t="shared" si="71"/>
        <v>0</v>
      </c>
      <c r="AV36" s="229">
        <f t="shared" si="71"/>
        <v>0</v>
      </c>
      <c r="AY36" s="229">
        <f>(AY34-AY38)/(((AY34+AY38))/2)</f>
        <v>0</v>
      </c>
      <c r="AZ36" s="229">
        <f t="shared" ref="AZ36:BB36" si="72">(AZ34-AZ38)/(((AZ34+AZ38))/2)</f>
        <v>0</v>
      </c>
      <c r="BA36" s="229">
        <f t="shared" si="72"/>
        <v>0</v>
      </c>
      <c r="BB36" s="229">
        <f t="shared" si="72"/>
        <v>0</v>
      </c>
      <c r="BC36" s="140"/>
      <c r="BG36" s="296" t="str">
        <f t="shared" si="70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3">(BM34-BM38)/(((BM34+BM38))/2)</f>
        <v>0</v>
      </c>
      <c r="BN36" s="229">
        <f t="shared" si="73"/>
        <v>0</v>
      </c>
      <c r="BO36" s="229">
        <f t="shared" si="73"/>
        <v>0</v>
      </c>
      <c r="BP36" s="14"/>
      <c r="BS36" s="229">
        <f>(BS34-BS38)/(((BS34+BS38))/2)</f>
        <v>0</v>
      </c>
      <c r="BT36" s="229">
        <f t="shared" ref="BT36:BV36" si="74">(BT34-BT38)/(((BT34+BT38))/2)</f>
        <v>0</v>
      </c>
      <c r="BU36" s="229">
        <f t="shared" si="74"/>
        <v>0</v>
      </c>
      <c r="BV36" s="229">
        <f t="shared" si="74"/>
        <v>0</v>
      </c>
      <c r="BW36" s="14"/>
      <c r="BZ36" s="229">
        <f t="shared" ref="BZ36:CC36" si="75">(BZ34-BZ38)/(((BZ34+BZ38))/2)</f>
        <v>0</v>
      </c>
      <c r="CA36" s="229">
        <f t="shared" si="75"/>
        <v>0</v>
      </c>
      <c r="CB36" s="229">
        <f t="shared" si="75"/>
        <v>0</v>
      </c>
      <c r="CC36" s="229">
        <f t="shared" si="75"/>
        <v>0</v>
      </c>
      <c r="CD36" s="13"/>
      <c r="CG36" s="229">
        <f>(CG34-CG38)/(((CG34+CG38))/2)</f>
        <v>0</v>
      </c>
      <c r="CH36" s="229">
        <f t="shared" ref="CH36:CI36" si="76">(CH34-CH38)/(((CH34+CH38))/2)</f>
        <v>0</v>
      </c>
      <c r="CI36" s="229">
        <f t="shared" si="76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77">(CO34-CO38)/(((CO34+CO38))/2)</f>
        <v>0</v>
      </c>
      <c r="CP36" s="229">
        <f t="shared" si="77"/>
        <v>0</v>
      </c>
      <c r="CQ36" s="229" t="e">
        <f t="shared" si="77"/>
        <v>#DIV/0!</v>
      </c>
      <c r="CR36" s="14"/>
      <c r="CU36" s="229">
        <f t="shared" ref="CU36:CX36" si="78">(CU34-CU38)/(((CU34+CU38))/2)</f>
        <v>0</v>
      </c>
      <c r="CV36" s="229">
        <f t="shared" si="78"/>
        <v>0</v>
      </c>
      <c r="CW36" s="229">
        <f t="shared" si="78"/>
        <v>0</v>
      </c>
      <c r="CX36" s="229">
        <f t="shared" si="78"/>
        <v>0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1</v>
      </c>
      <c r="F37" s="52"/>
      <c r="G37" s="175"/>
      <c r="H37" s="291">
        <f t="shared" si="69"/>
        <v>1</v>
      </c>
      <c r="I37" s="291">
        <f t="shared" si="69"/>
        <v>1</v>
      </c>
      <c r="J37" s="291">
        <f t="shared" si="69"/>
        <v>1</v>
      </c>
      <c r="K37" s="291">
        <f t="shared" si="69"/>
        <v>1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1</v>
      </c>
      <c r="AT37" s="291">
        <f>COUNT(AT3:AT32)</f>
        <v>1</v>
      </c>
      <c r="AU37" s="291">
        <f>COUNT(AU3:AU32)</f>
        <v>1</v>
      </c>
      <c r="AV37" s="291">
        <f>COUNT(AV3:AV32)</f>
        <v>1</v>
      </c>
      <c r="AW37" s="292"/>
      <c r="AX37" s="290" t="str">
        <f>$AR37</f>
        <v>n</v>
      </c>
      <c r="AY37" s="291">
        <f>COUNT(AY3:AY32)</f>
        <v>1</v>
      </c>
      <c r="AZ37" s="291">
        <f>COUNT(AZ3:AZ32)</f>
        <v>1</v>
      </c>
      <c r="BA37" s="291">
        <f>COUNT(BA3:BA32)</f>
        <v>1</v>
      </c>
      <c r="BB37" s="291">
        <f>COUNT(BB3:BB32)</f>
        <v>1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1</v>
      </c>
      <c r="BJ37" s="54"/>
      <c r="BK37" s="290" t="str">
        <f>$AR37</f>
        <v>n</v>
      </c>
      <c r="BL37" s="291">
        <f>COUNT(BL3:BL32)</f>
        <v>1</v>
      </c>
      <c r="BM37" s="291">
        <f>COUNT(BM3:BM32)</f>
        <v>1</v>
      </c>
      <c r="BN37" s="291">
        <f>COUNT(BN3:BN32)</f>
        <v>1</v>
      </c>
      <c r="BO37" s="291">
        <f>COUNT(BO3:BO32)</f>
        <v>1</v>
      </c>
      <c r="BP37" s="177"/>
      <c r="BQ37" s="54"/>
      <c r="BR37" s="290" t="str">
        <f>$AR37</f>
        <v>n</v>
      </c>
      <c r="BS37" s="291">
        <f>COUNT(BS3:BS32)</f>
        <v>1</v>
      </c>
      <c r="BT37" s="291">
        <f>COUNT(BT3:BT32)</f>
        <v>1</v>
      </c>
      <c r="BU37" s="291">
        <f>COUNT(BU3:BU32)</f>
        <v>1</v>
      </c>
      <c r="BV37" s="291">
        <f>COUNT(BV3:BV32)</f>
        <v>1</v>
      </c>
      <c r="BW37" s="177"/>
      <c r="BX37" s="54"/>
      <c r="BY37" s="290" t="str">
        <f>$AR37</f>
        <v>n</v>
      </c>
      <c r="BZ37" s="291">
        <f>COUNT(BZ3:BZ32)</f>
        <v>1</v>
      </c>
      <c r="CA37" s="291">
        <f>COUNT(CA3:CA32)</f>
        <v>1</v>
      </c>
      <c r="CB37" s="291">
        <f>COUNT(CB3:CB32)</f>
        <v>1</v>
      </c>
      <c r="CC37" s="291">
        <f>COUNT(CC3:CC32)</f>
        <v>1</v>
      </c>
      <c r="CD37" s="178"/>
      <c r="CE37" s="54"/>
      <c r="CF37" s="290" t="str">
        <f>$AR37</f>
        <v>n</v>
      </c>
      <c r="CG37" s="291">
        <f>COUNT(CG3:CG32)</f>
        <v>1</v>
      </c>
      <c r="CH37" s="291">
        <f>COUNT(CH3:CH32)</f>
        <v>1</v>
      </c>
      <c r="CI37" s="291">
        <f>COUNT(CI3:CI32)</f>
        <v>1</v>
      </c>
      <c r="CJ37" s="291">
        <f>COUNT(CJ3:CJ32)</f>
        <v>1</v>
      </c>
      <c r="CK37" s="177"/>
      <c r="CL37" s="54"/>
      <c r="CM37" s="290" t="str">
        <f>$AR37</f>
        <v>n</v>
      </c>
      <c r="CN37" s="291">
        <f>COUNT(CN3:CN32)</f>
        <v>1</v>
      </c>
      <c r="CO37" s="291">
        <f>COUNT(CO3:CO32)</f>
        <v>1</v>
      </c>
      <c r="CP37" s="291">
        <f>COUNT(CP3:CP32)</f>
        <v>1</v>
      </c>
      <c r="CQ37" s="291">
        <f>COUNT(CQ3:CQ32)</f>
        <v>1</v>
      </c>
      <c r="CR37" s="177"/>
      <c r="CS37" s="54"/>
      <c r="CT37" s="290" t="str">
        <f>$AR37</f>
        <v>n</v>
      </c>
      <c r="CU37" s="291">
        <f>COUNT(CU3:CU32)</f>
        <v>1</v>
      </c>
      <c r="CV37" s="291">
        <f>COUNT(CV3:CV32)</f>
        <v>1</v>
      </c>
      <c r="CW37" s="291">
        <f>COUNT(CW3:CW32)</f>
        <v>1</v>
      </c>
      <c r="CX37" s="291">
        <f>COUNT(CX3:CX32)</f>
        <v>1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>
        <f t="shared" si="68"/>
        <v>2</v>
      </c>
      <c r="F38" s="214"/>
      <c r="G38" s="215"/>
      <c r="H38" s="295">
        <f t="shared" si="69"/>
        <v>34.294719040000004</v>
      </c>
      <c r="I38" s="295">
        <f t="shared" si="69"/>
        <v>9.0527536568284148</v>
      </c>
      <c r="J38" s="295">
        <f t="shared" si="69"/>
        <v>95.930318177722157</v>
      </c>
      <c r="K38" s="295">
        <f t="shared" si="69"/>
        <v>1.8587501077424204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34.294719040000004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9.0482272800000008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95.810405280000012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1.85456792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112.8794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108.6833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103.9508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28.838699999999999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1</v>
      </c>
      <c r="BI38" s="311">
        <f>AVERAGE(BI3:BI32)</f>
        <v>2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34.294719040000004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9.0527536568284148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95.930318177722157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1.8587501077424204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0.35749614607203761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9.4368014500453623E-2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1.9376044435700381E-2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0.64250385392796239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0.73603068022602425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0.90563198549954638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0.9806239555642996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32.43596893225758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7.1940035490859948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94.071568069979733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0.3448009807610361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7.647372842487736E-2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0.65519901923896384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0.77820907511316684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0.92352627157512268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1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2005-04-09 EF-01A.DLD</v>
      </c>
      <c r="C41" s="277"/>
      <c r="D41" s="30"/>
      <c r="F41" s="55" t="s">
        <v>16</v>
      </c>
      <c r="G41" s="56" t="str">
        <f>AC45</f>
        <v>2B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>
        <f>E42</f>
        <v>1.01</v>
      </c>
      <c r="B42" s="286" t="s">
        <v>26</v>
      </c>
      <c r="C42" s="88">
        <f>AB47</f>
        <v>439</v>
      </c>
      <c r="D42" s="88">
        <f>AB49</f>
        <v>0</v>
      </c>
      <c r="E42" s="278">
        <f>IF(ISNUMBER(AB50),AB50+0.01*AB51,"")</f>
        <v>1.01</v>
      </c>
      <c r="F42" s="279" t="s">
        <v>10</v>
      </c>
      <c r="G42" s="98">
        <f>AE53</f>
        <v>-0.81879999999999997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1.01</v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1</v>
      </c>
      <c r="AL42" s="182">
        <f t="shared" si="80"/>
        <v>1.5</v>
      </c>
      <c r="AM42" s="182">
        <f t="shared" si="80"/>
        <v>2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1</v>
      </c>
      <c r="F43" s="279" t="s">
        <v>11</v>
      </c>
      <c r="G43" s="99">
        <f>AE54</f>
        <v>1.84E-2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1</v>
      </c>
      <c r="AK43" s="60">
        <f>$E43-($E43*(SUM(AJ42:AK42))/1000)/2</f>
        <v>0.99950000000000006</v>
      </c>
      <c r="AL43" s="60">
        <f>$E43-($E43*(SUM(AJ42:AL42))/1000)/2</f>
        <v>0.99875000000000003</v>
      </c>
      <c r="AM43" s="60">
        <f>$E43-($E43*(SUM(AJ42:AM42))/1000)/2</f>
        <v>0.99775000000000003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 t="str">
        <f>AB46</f>
        <v>CCP</v>
      </c>
      <c r="C44" s="283" t="s">
        <v>7</v>
      </c>
      <c r="D44" s="283" t="s">
        <v>176</v>
      </c>
      <c r="E44" s="100">
        <f>AB53</f>
        <v>2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253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247</v>
      </c>
      <c r="AC45" s="245" t="s">
        <v>127</v>
      </c>
      <c r="AD45" s="246" t="s">
        <v>37</v>
      </c>
      <c r="AE45" s="247" t="s">
        <v>38</v>
      </c>
      <c r="AF45" s="248" t="s">
        <v>241</v>
      </c>
      <c r="AG45" s="102" t="s">
        <v>185</v>
      </c>
      <c r="AH45" s="15" t="s">
        <v>34</v>
      </c>
      <c r="AI45" s="15" t="s">
        <v>186</v>
      </c>
      <c r="AJ45" s="507" t="s">
        <v>165</v>
      </c>
      <c r="AK45" s="31" t="s">
        <v>179</v>
      </c>
      <c r="AL45" s="32" t="s">
        <v>180</v>
      </c>
      <c r="AM45" s="33" t="s">
        <v>207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178</v>
      </c>
      <c r="AC46" s="250"/>
      <c r="AD46" s="251" t="s">
        <v>40</v>
      </c>
      <c r="AE46" s="247">
        <v>37</v>
      </c>
      <c r="AF46" s="252" t="s">
        <v>187</v>
      </c>
      <c r="AG46" s="102"/>
      <c r="AH46" s="186" t="s">
        <v>188</v>
      </c>
      <c r="AI46" s="186"/>
      <c r="AJ46" s="133">
        <v>0</v>
      </c>
      <c r="AK46" s="133">
        <v>1</v>
      </c>
      <c r="AL46" s="133">
        <v>1.5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>
        <v>439</v>
      </c>
      <c r="AC47" s="254"/>
      <c r="AD47" s="158" t="s">
        <v>42</v>
      </c>
      <c r="AE47" s="117"/>
      <c r="AF47" s="255" t="s">
        <v>6</v>
      </c>
      <c r="AG47" s="14"/>
      <c r="AH47" s="186" t="s">
        <v>189</v>
      </c>
      <c r="AI47" s="186"/>
      <c r="AJ47" s="188">
        <v>1.4513888888888889E-2</v>
      </c>
      <c r="AK47" s="188">
        <v>1.8437499999999999E-2</v>
      </c>
      <c r="AL47" s="188">
        <v>4.4386574074074071E-2</v>
      </c>
      <c r="AM47" s="188">
        <v>6.0659722222222219E-2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>
        <v>6.6597</v>
      </c>
      <c r="AF48" s="255" t="s">
        <v>190</v>
      </c>
      <c r="AG48" s="14"/>
      <c r="AH48" s="186" t="s">
        <v>191</v>
      </c>
      <c r="AI48" s="188"/>
      <c r="AJ48" s="188">
        <v>1.5347222222222222E-2</v>
      </c>
      <c r="AK48" s="188">
        <v>1.9421296296296294E-2</v>
      </c>
      <c r="AL48" s="188">
        <v>4.5752314814814815E-2</v>
      </c>
      <c r="AM48" s="188">
        <v>6.2002314814814809E-2</v>
      </c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2.1600000000000001E-2</v>
      </c>
      <c r="AF49" s="255" t="s">
        <v>190</v>
      </c>
      <c r="AG49" s="177"/>
      <c r="AH49" s="189" t="s">
        <v>192</v>
      </c>
      <c r="AI49" s="190"/>
      <c r="AJ49" s="189">
        <v>35</v>
      </c>
      <c r="AK49" s="189">
        <v>43</v>
      </c>
      <c r="AL49" s="189">
        <v>59</v>
      </c>
      <c r="AM49" s="189">
        <v>58</v>
      </c>
      <c r="AP49" s="74"/>
      <c r="AQ49" s="69">
        <f>BN51</f>
        <v>95.930318177722157</v>
      </c>
      <c r="AR49" s="70">
        <f>BO51</f>
        <v>1.8587501077424204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1</v>
      </c>
      <c r="AC50" s="254"/>
      <c r="AD50" s="158" t="s">
        <v>47</v>
      </c>
      <c r="AE50" s="117">
        <v>86.3</v>
      </c>
      <c r="AF50" s="255" t="s">
        <v>193</v>
      </c>
      <c r="AG50" s="103"/>
      <c r="AH50" s="104" t="s">
        <v>251</v>
      </c>
      <c r="AI50" s="16" t="s">
        <v>6</v>
      </c>
      <c r="AJ50" s="71">
        <v>112.8794</v>
      </c>
      <c r="AK50" s="71">
        <v>108.6833</v>
      </c>
      <c r="AL50" s="71">
        <v>103.9508</v>
      </c>
      <c r="AM50" s="71">
        <v>28.838699999999999</v>
      </c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3Ama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194</v>
      </c>
      <c r="AH51" s="106" t="s">
        <v>252</v>
      </c>
      <c r="AI51" s="17" t="s">
        <v>4</v>
      </c>
      <c r="AJ51" s="8">
        <v>35.552900000000001</v>
      </c>
      <c r="AK51" s="8">
        <v>10.229200000000001</v>
      </c>
      <c r="AL51" s="8">
        <v>96.904300000000006</v>
      </c>
      <c r="AM51" s="8">
        <v>1.5664</v>
      </c>
      <c r="AP51" s="459">
        <f>E42</f>
        <v>1.01</v>
      </c>
      <c r="AQ51" s="510" t="s">
        <v>5</v>
      </c>
      <c r="AR51" s="37" t="s">
        <v>4</v>
      </c>
      <c r="AS51" s="21">
        <f>IF(ISNUMBER(AJ51),AJ51-($G43*AJ50+$G42),"")</f>
        <v>34.294719040000004</v>
      </c>
      <c r="AT51" s="21">
        <f>IF(ISNUMBER(AK51),AK51-($G43*AK50+$G42),"")</f>
        <v>9.0482272800000008</v>
      </c>
      <c r="AU51" s="21">
        <f>IF(ISNUMBER(AL51),AL51-($G43*AL50+$G42),"")</f>
        <v>95.810405280000012</v>
      </c>
      <c r="AV51" s="21">
        <f>IF(ISNUMBER(AM51),AM51-($G43*AM50+$G42),"")</f>
        <v>1.85456792</v>
      </c>
      <c r="AW51" s="107" t="str">
        <f>$AH50</f>
        <v>2B: O2 concentration</v>
      </c>
      <c r="AX51" s="107" t="str">
        <f>$AI50</f>
        <v>µM</v>
      </c>
      <c r="AY51" s="73">
        <f>IF(ISNUMBER(AJ50),AJ50,"")</f>
        <v>112.8794</v>
      </c>
      <c r="AZ51" s="73">
        <f>IF(ISNUMBER(AK50),AK50,"")</f>
        <v>108.6833</v>
      </c>
      <c r="BA51" s="73">
        <f>IF(ISNUMBER(AL50),AL50,"")</f>
        <v>103.9508</v>
      </c>
      <c r="BB51" s="73">
        <f t="shared" ref="BB51" si="88">IF(ISNUMBER(AM50),AM50,"")</f>
        <v>28.838699999999999</v>
      </c>
      <c r="BC51" s="166"/>
      <c r="BD51" s="176" t="str">
        <f>$AA44</f>
        <v>2005-04-09 EF-01A.DLD</v>
      </c>
      <c r="BE51" s="193">
        <f>$D42</f>
        <v>0</v>
      </c>
      <c r="BF51" s="124">
        <f>$B43</f>
        <v>0</v>
      </c>
      <c r="BG51" s="194">
        <f>$E42</f>
        <v>1.01</v>
      </c>
      <c r="BH51" s="195"/>
      <c r="BI51" s="196">
        <f>IF(ISNUMBER($AB53),$AB53,"")</f>
        <v>2</v>
      </c>
      <c r="BJ51" s="511" t="str">
        <f>AH2</f>
        <v>O2 flow per cells</v>
      </c>
      <c r="BK51" s="511" t="str">
        <f>AI2</f>
        <v>pmol/(s*Mill)</v>
      </c>
      <c r="BL51" s="7">
        <f>IF(ISNUMBER(AS51),AS51/AJ43,"")</f>
        <v>34.294719040000004</v>
      </c>
      <c r="BM51" s="7">
        <f>IF(ISNUMBER(AT51),AT51/AK43,"")</f>
        <v>9.0527536568284148</v>
      </c>
      <c r="BN51" s="7">
        <f>IF(ISNUMBER(AU51),AU51/AL43,"")</f>
        <v>95.930318177722157</v>
      </c>
      <c r="BO51" s="7">
        <f>IF(ISNUMBER(AV51),AV51/AM43,"")</f>
        <v>1.8587501077424204</v>
      </c>
      <c r="BP51" s="194">
        <f>$E42</f>
        <v>1.01</v>
      </c>
      <c r="BQ51" s="6" t="s">
        <v>19</v>
      </c>
      <c r="BR51" s="6" t="s">
        <v>20</v>
      </c>
      <c r="BS51" s="5">
        <f>IF(ISNUMBER(BL51),BL51/$AQ49,"")</f>
        <v>0.35749614607203761</v>
      </c>
      <c r="BT51" s="5">
        <f>IF(ISNUMBER(BM51),BM51/$AQ49,"")</f>
        <v>9.4368014500453623E-2</v>
      </c>
      <c r="BU51" s="5">
        <f t="shared" ref="BU51" si="89">IF(ISNUMBER(BN51),BN51/$AQ49,"")</f>
        <v>1</v>
      </c>
      <c r="BV51" s="5">
        <f>IF(ISNUMBER(BO51),BO51/$AQ49,"")</f>
        <v>1.9376044435700381E-2</v>
      </c>
      <c r="BW51" s="194">
        <f>$E42</f>
        <v>1.01</v>
      </c>
      <c r="BX51" s="6" t="s">
        <v>18</v>
      </c>
      <c r="BY51" s="6" t="s">
        <v>21</v>
      </c>
      <c r="BZ51" s="5">
        <f>IF(ISNUMBER(BN51),1-BL51/BN51,"")</f>
        <v>0.64250385392796239</v>
      </c>
      <c r="CA51" s="5">
        <f>IF(ISNUMBER(BM51),1-BM51/BL51,"")</f>
        <v>0.73603068022602425</v>
      </c>
      <c r="CB51" s="5">
        <f>IF(ISNUMBER(BM51),1-BM51/BN51,"")</f>
        <v>0.90563198549954638</v>
      </c>
      <c r="CC51" s="5">
        <f>IF(ISNUMBER(BN51),1-BO51/BN51,"")</f>
        <v>0.9806239555642996</v>
      </c>
      <c r="CD51" s="194">
        <f>$E42</f>
        <v>1.01</v>
      </c>
      <c r="CE51" s="511" t="str">
        <f>AH3</f>
        <v>O2 flow per cells (mt: ROX-corr.)</v>
      </c>
      <c r="CF51" s="511" t="str">
        <f>AI2</f>
        <v>pmol/(s*Mill)</v>
      </c>
      <c r="CG51" s="7">
        <f>IF(ISNUMBER(BL51),BL51-$AR49,"")</f>
        <v>32.43596893225758</v>
      </c>
      <c r="CH51" s="7">
        <f>IF(ISNUMBER(BM51),BM51-$AR49,"")</f>
        <v>7.1940035490859948</v>
      </c>
      <c r="CI51" s="7">
        <f>IF(ISNUMBER(BN51),BN51-$AR49,"")</f>
        <v>94.071568069979733</v>
      </c>
      <c r="CJ51" s="7">
        <f>IF(ISNUMBER(BO51),BO51-$AR49,"")</f>
        <v>0</v>
      </c>
      <c r="CK51" s="194">
        <f>$E42</f>
        <v>1.01</v>
      </c>
      <c r="CL51" s="6" t="s">
        <v>3</v>
      </c>
      <c r="CM51" s="6" t="s">
        <v>1</v>
      </c>
      <c r="CN51" s="5">
        <f>IF(ISNUMBER(CG51),CG51/($AQ49-$AR49),"")</f>
        <v>0.3448009807610361</v>
      </c>
      <c r="CO51" s="5">
        <f>IF(ISNUMBER(CH51),CH51/($AQ49-$AR49),"")</f>
        <v>7.647372842487736E-2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1.01</v>
      </c>
      <c r="CS51" s="6" t="s">
        <v>2</v>
      </c>
      <c r="CT51" s="6" t="s">
        <v>1</v>
      </c>
      <c r="CU51" s="5">
        <f>IF(ISNUMBER(CI51),1-CG51/CI51,"")</f>
        <v>0.65519901923896384</v>
      </c>
      <c r="CV51" s="5">
        <f>IF(ISNUMBER(CH51),1-CH51/CG51,"")</f>
        <v>0.77820907511316684</v>
      </c>
      <c r="CW51" s="5">
        <f>IF(ISNUMBER(CH51),1-CH51/CI51,"")</f>
        <v>0.92352627157512268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</v>
      </c>
      <c r="AC52" s="259" t="s">
        <v>195</v>
      </c>
      <c r="AD52" s="158" t="s">
        <v>196</v>
      </c>
      <c r="AE52" s="256" t="s">
        <v>240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</v>
      </c>
      <c r="AC53" s="261" t="s">
        <v>197</v>
      </c>
      <c r="AD53" s="262" t="s">
        <v>52</v>
      </c>
      <c r="AE53" s="263">
        <v>-0.81879999999999997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1.84E-2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11" priority="2" stopIfTrue="1">
      <formula>ISERROR(AQ3)</formula>
    </cfRule>
  </conditionalFormatting>
  <conditionalFormatting sqref="AS34:AV34">
    <cfRule type="containsErrors" dxfId="10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210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>
        <f>IF(ISNUMBER(AB50),AB50,"")</f>
        <v>2</v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2</v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>
        <f>$E$1</f>
        <v>2</v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>
        <f>$E$1</f>
        <v>2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>
        <f>$E$1</f>
        <v>2</v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>
        <f>$E$1</f>
        <v>2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2</v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>
        <f>$E$1</f>
        <v>2</v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>
        <f>$E$1</f>
        <v>2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2</v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2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2.0099999999999998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30.830044000000001</v>
      </c>
      <c r="AT3" s="38">
        <f t="shared" ref="AT3:AV3" si="0">IF(ISNUMBER(AT51),AT51,NA())</f>
        <v>11.424298</v>
      </c>
      <c r="AU3" s="38">
        <f t="shared" si="0"/>
        <v>77.378795999999994</v>
      </c>
      <c r="AV3" s="38">
        <f t="shared" si="0"/>
        <v>2.2513480000000001</v>
      </c>
      <c r="AW3" s="354" t="str">
        <f>AW51</f>
        <v>4A: O2 concentration</v>
      </c>
      <c r="AX3" s="354" t="str">
        <f>AX51</f>
        <v>µM</v>
      </c>
      <c r="AY3" s="353">
        <f>IF(ISNUMBER(AY51),AY51,NA())</f>
        <v>121.7278</v>
      </c>
      <c r="AZ3" s="353">
        <f t="shared" ref="AZ3:BB3" si="1">IF(ISNUMBER(AZ51),AZ51,NA())</f>
        <v>113.5501</v>
      </c>
      <c r="BA3" s="353">
        <f t="shared" si="1"/>
        <v>72.860200000000006</v>
      </c>
      <c r="BB3" s="353">
        <f t="shared" si="1"/>
        <v>32.967599999999997</v>
      </c>
      <c r="BC3" s="140">
        <f>BC51</f>
        <v>0</v>
      </c>
      <c r="BD3" s="141" t="str">
        <f>BD51</f>
        <v>2005-04-09 GH-03.DLD</v>
      </c>
      <c r="BE3" s="141">
        <f>BE51</f>
        <v>0</v>
      </c>
      <c r="BF3" s="142">
        <f>BF51</f>
        <v>0</v>
      </c>
      <c r="BG3" s="143">
        <f>$AP51</f>
        <v>2.0099999999999998</v>
      </c>
      <c r="BH3" s="143"/>
      <c r="BI3" s="144">
        <f>BI51</f>
        <v>2.8</v>
      </c>
      <c r="BJ3" s="356" t="str">
        <f>BJ51</f>
        <v>O2 flow per cells</v>
      </c>
      <c r="BK3" s="356" t="str">
        <f>BK51</f>
        <v>pmol/(s*Mill)</v>
      </c>
      <c r="BL3" s="38">
        <f>IF(ISNUMBER(BL51),BL51,NA())</f>
        <v>22.021460000000001</v>
      </c>
      <c r="BM3" s="38">
        <f t="shared" ref="BM3:BO3" si="2">IF(ISNUMBER(BM51),BM51,NA())</f>
        <v>8.1642950046451794</v>
      </c>
      <c r="BN3" s="38">
        <f t="shared" si="2"/>
        <v>55.348055849618035</v>
      </c>
      <c r="BO3" s="38">
        <f t="shared" si="2"/>
        <v>1.6119744529728492</v>
      </c>
      <c r="BP3" s="143">
        <f>$AP51</f>
        <v>2.0099999999999998</v>
      </c>
      <c r="BQ3" s="357" t="str">
        <f>BQ51</f>
        <v>Flux control ratio</v>
      </c>
      <c r="BR3" s="357" t="str">
        <f>BR51</f>
        <v>FCR, relative</v>
      </c>
      <c r="BS3" s="315">
        <f>IF(ISNUMBER(BS51),BS51,NA())</f>
        <v>0.39787233105048575</v>
      </c>
      <c r="BT3" s="315">
        <f t="shared" ref="BT3:BV3" si="3">IF(ISNUMBER(BT51),BT51,NA())</f>
        <v>0.14750825262639325</v>
      </c>
      <c r="BU3" s="315">
        <f t="shared" si="3"/>
        <v>1</v>
      </c>
      <c r="BV3" s="315">
        <f t="shared" si="3"/>
        <v>2.912431933205787E-2</v>
      </c>
      <c r="BW3" s="143">
        <f>$AP51</f>
        <v>2.0099999999999998</v>
      </c>
      <c r="BX3" s="357" t="str">
        <f>BX51</f>
        <v>Flux control factor</v>
      </c>
      <c r="BY3" s="357" t="str">
        <f>BY51</f>
        <v>FCF, relative</v>
      </c>
      <c r="BZ3" s="315">
        <f>IF(ISNUMBER(BZ51),BZ51,NA())</f>
        <v>0.60212766894951431</v>
      </c>
      <c r="CA3" s="315">
        <f t="shared" ref="CA3:CC3" si="4">IF(ISNUMBER(CA51),CA51,NA())</f>
        <v>0.62925732423530589</v>
      </c>
      <c r="CB3" s="315">
        <f t="shared" si="4"/>
        <v>0.85249174737360678</v>
      </c>
      <c r="CC3" s="315">
        <f t="shared" si="4"/>
        <v>0.97087568066794216</v>
      </c>
      <c r="CD3" s="143">
        <f>$AP51</f>
        <v>2.0099999999999998</v>
      </c>
      <c r="CE3" s="356" t="str">
        <f>CE51</f>
        <v>O2 flow per cells (mt: ROX-corr.)</v>
      </c>
      <c r="CF3" s="356" t="str">
        <f>CF51</f>
        <v>pmol/(s*Mill)</v>
      </c>
      <c r="CG3" s="38">
        <f>IF(ISNUMBER(CG51),CG51,NA())</f>
        <v>20.409485547027153</v>
      </c>
      <c r="CH3" s="38">
        <f t="shared" ref="CH3:CJ3" si="5">IF(ISNUMBER(CH51),CH51,NA())</f>
        <v>6.55232055167233</v>
      </c>
      <c r="CI3" s="38">
        <f t="shared" si="5"/>
        <v>53.736081396645183</v>
      </c>
      <c r="CJ3" s="38">
        <f t="shared" si="5"/>
        <v>0</v>
      </c>
      <c r="CK3" s="143">
        <f>$AP51</f>
        <v>2.0099999999999998</v>
      </c>
      <c r="CL3" s="357" t="str">
        <f>CL51</f>
        <v>FCR (mt: ROX-corr.)</v>
      </c>
      <c r="CM3" s="357" t="str">
        <f>CM51</f>
        <v>relative</v>
      </c>
      <c r="CN3" s="315">
        <f>IF(ISNUMBER(CN51),CN51,NA())</f>
        <v>0.37980971102781874</v>
      </c>
      <c r="CO3" s="315">
        <f t="shared" ref="CO3:CQ3" si="6">IF(ISNUMBER(CO51),CO51,NA())</f>
        <v>0.12193521338683622</v>
      </c>
      <c r="CP3" s="315">
        <f t="shared" si="6"/>
        <v>1</v>
      </c>
      <c r="CQ3" s="315">
        <f t="shared" si="6"/>
        <v>0</v>
      </c>
      <c r="CR3" s="143">
        <f>$AP51</f>
        <v>2.0099999999999998</v>
      </c>
      <c r="CS3" s="357" t="str">
        <f>CS51</f>
        <v>FCF (mt: ROX-corr.)</v>
      </c>
      <c r="CT3" s="357" t="str">
        <f>CT51</f>
        <v>relative</v>
      </c>
      <c r="CU3" s="315">
        <f>IF(ISNUMBER(CU51),CU51,NA())</f>
        <v>0.62019028897218131</v>
      </c>
      <c r="CV3" s="315">
        <f t="shared" ref="CV3:CX3" si="7">IF(ISNUMBER(CV51),CV51,NA())</f>
        <v>0.67895709391720849</v>
      </c>
      <c r="CW3" s="315">
        <f t="shared" si="7"/>
        <v>0.87806478661316378</v>
      </c>
      <c r="CX3" s="315">
        <f t="shared" si="7"/>
        <v>1</v>
      </c>
      <c r="CY3" s="143">
        <f>$AP51</f>
        <v>2.0099999999999998</v>
      </c>
    </row>
    <row r="4" spans="1:116">
      <c r="A4" s="473" t="s">
        <v>99</v>
      </c>
      <c r="B4" s="288" t="str">
        <f>B41</f>
        <v>2005-04-09 GH-03.DLD</v>
      </c>
      <c r="C4" s="166" t="str">
        <f>IF(ISTEXT(C42),C42,"")</f>
        <v/>
      </c>
      <c r="D4" s="166" t="str">
        <f>IF(ISTEXT(D42),D42,"")</f>
        <v/>
      </c>
      <c r="E4" s="240">
        <f>E42</f>
        <v>2.0099999999999998</v>
      </c>
      <c r="F4" s="166" t="str">
        <f>IF(ISTEXT(G41),G41,"")</f>
        <v>4A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>
        <f>$AP71</f>
        <v>2.02</v>
      </c>
      <c r="AQ4" s="38" t="str">
        <f>AQ71</f>
        <v>O2 flux per volume</v>
      </c>
      <c r="AR4" s="38" t="str">
        <f>AR71</f>
        <v>pmol/(s*ml)</v>
      </c>
      <c r="AS4" s="38">
        <f>IF(ISNUMBER(AS71),AS71,NA())</f>
        <v>31.173565759999999</v>
      </c>
      <c r="AT4" s="38">
        <f t="shared" ref="AT4:AV4" si="9">IF(ISNUMBER(AT71),AT71,NA())</f>
        <v>9.6180672000000005</v>
      </c>
      <c r="AU4" s="38">
        <f t="shared" si="9"/>
        <v>85.700819360000011</v>
      </c>
      <c r="AV4" s="38">
        <f t="shared" si="9"/>
        <v>0.58607503999999999</v>
      </c>
      <c r="AW4" s="354" t="str">
        <f>AW71</f>
        <v>4B: O2 concentration</v>
      </c>
      <c r="AX4" s="354" t="str">
        <f>AX71</f>
        <v>µM</v>
      </c>
      <c r="AY4" s="353">
        <f>IF(ISNUMBER(AY71),AY71,NA())</f>
        <v>118.69970000000001</v>
      </c>
      <c r="AZ4" s="353">
        <f t="shared" ref="AZ4:BB4" si="10">IF(ISNUMBER(AZ71),AZ71,NA())</f>
        <v>111.059</v>
      </c>
      <c r="BA4" s="353">
        <f t="shared" si="10"/>
        <v>97.191699999999997</v>
      </c>
      <c r="BB4" s="353">
        <f t="shared" si="10"/>
        <v>34.563800000000001</v>
      </c>
      <c r="BC4" s="140">
        <f>BC71</f>
        <v>0</v>
      </c>
      <c r="BD4" s="141" t="str">
        <f>BD71</f>
        <v>2005-04-09 GH-03.DLD</v>
      </c>
      <c r="BE4" s="141">
        <f>BE71</f>
        <v>0</v>
      </c>
      <c r="BF4" s="142">
        <f>BF71</f>
        <v>0</v>
      </c>
      <c r="BG4" s="143">
        <f>$AP71</f>
        <v>2.02</v>
      </c>
      <c r="BH4" s="143"/>
      <c r="BI4" s="144">
        <f>BI71</f>
        <v>2.8</v>
      </c>
      <c r="BJ4" s="356" t="str">
        <f>BJ71</f>
        <v>O2 flow per cells</v>
      </c>
      <c r="BK4" s="356" t="str">
        <f>BK71</f>
        <v>pmol/(s*Mill)</v>
      </c>
      <c r="BL4" s="38">
        <f>IF(ISNUMBER(BL71),BL71,NA())</f>
        <v>22.266832685714288</v>
      </c>
      <c r="BM4" s="38">
        <f t="shared" ref="BM4:BO4" si="11">IF(ISNUMBER(BM71),BM71,NA())</f>
        <v>6.8734847423711862</v>
      </c>
      <c r="BN4" s="38">
        <f t="shared" si="11"/>
        <v>61.29148532808869</v>
      </c>
      <c r="BO4" s="38">
        <f t="shared" si="11"/>
        <v>0.41956905895407526</v>
      </c>
      <c r="BP4" s="143">
        <f>$AP71</f>
        <v>2.02</v>
      </c>
      <c r="BQ4" s="357" t="str">
        <f>BQ71</f>
        <v>Flux control ratio</v>
      </c>
      <c r="BR4" s="357" t="str">
        <f>BR71</f>
        <v>FCR, relative</v>
      </c>
      <c r="BS4" s="315">
        <f>IF(ISNUMBER(BS71),BS71,NA())</f>
        <v>0.3632940622424406</v>
      </c>
      <c r="BT4" s="315">
        <f t="shared" ref="BT4:BV4" si="12">IF(ISNUMBER(BT71),BT71,NA())</f>
        <v>0.11214420250346262</v>
      </c>
      <c r="BU4" s="315">
        <f t="shared" si="12"/>
        <v>1</v>
      </c>
      <c r="BV4" s="315">
        <f t="shared" si="12"/>
        <v>6.8454705691688459E-3</v>
      </c>
      <c r="BW4" s="143">
        <f>$AP71</f>
        <v>2.02</v>
      </c>
      <c r="BX4" s="357" t="str">
        <f>BX71</f>
        <v>Flux control factor</v>
      </c>
      <c r="BY4" s="357" t="str">
        <f>BY71</f>
        <v>FCF, relative</v>
      </c>
      <c r="BZ4" s="315">
        <f>IF(ISNUMBER(BZ71),BZ71,NA())</f>
        <v>0.63670593775755946</v>
      </c>
      <c r="CA4" s="315">
        <f t="shared" ref="CA4:CC4" si="13">IF(ISNUMBER(CA71),CA71,NA())</f>
        <v>0.69131286701673555</v>
      </c>
      <c r="CB4" s="315">
        <f t="shared" si="13"/>
        <v>0.88785579749653742</v>
      </c>
      <c r="CC4" s="315">
        <f t="shared" si="13"/>
        <v>0.99315452943083116</v>
      </c>
      <c r="CD4" s="143">
        <f>$AP71</f>
        <v>2.02</v>
      </c>
      <c r="CE4" s="356" t="str">
        <f>CE71</f>
        <v>O2 flow per cells (mt: ROX-corr.)</v>
      </c>
      <c r="CF4" s="356" t="str">
        <f>CF71</f>
        <v>pmol/(s*Mill)</v>
      </c>
      <c r="CG4" s="38">
        <f>IF(ISNUMBER(CG71),CG71,NA())</f>
        <v>21.847263626760213</v>
      </c>
      <c r="CH4" s="38">
        <f t="shared" ref="CH4:CJ4" si="14">IF(ISNUMBER(CH71),CH71,NA())</f>
        <v>6.4539156834171107</v>
      </c>
      <c r="CI4" s="38">
        <f t="shared" si="14"/>
        <v>60.871916269134616</v>
      </c>
      <c r="CJ4" s="38">
        <f t="shared" si="14"/>
        <v>0</v>
      </c>
      <c r="CK4" s="143">
        <f>$AP71</f>
        <v>2.02</v>
      </c>
      <c r="CL4" s="357" t="str">
        <f>CL71</f>
        <v>FCR (mt: ROX-corr.)</v>
      </c>
      <c r="CM4" s="357" t="str">
        <f>CM71</f>
        <v>relative</v>
      </c>
      <c r="CN4" s="315">
        <f>IF(ISNUMBER(CN71),CN71,NA())</f>
        <v>0.35890546849496785</v>
      </c>
      <c r="CO4" s="315">
        <f t="shared" ref="CO4:CQ4" si="15">IF(ISNUMBER(CO71),CO71,NA())</f>
        <v>0.10602451966325888</v>
      </c>
      <c r="CP4" s="315">
        <f t="shared" si="15"/>
        <v>1</v>
      </c>
      <c r="CQ4" s="315">
        <f t="shared" si="15"/>
        <v>0</v>
      </c>
      <c r="CR4" s="143">
        <f>$AP71</f>
        <v>2.02</v>
      </c>
      <c r="CS4" s="357" t="str">
        <f>CS71</f>
        <v>FCF (mt: ROX-corr.)</v>
      </c>
      <c r="CT4" s="357" t="str">
        <f>CT71</f>
        <v>relative</v>
      </c>
      <c r="CU4" s="315">
        <f>IF(ISNUMBER(CU71),CU71,NA())</f>
        <v>0.64109453150503215</v>
      </c>
      <c r="CV4" s="315">
        <f t="shared" ref="CV4:CX4" si="16">IF(ISNUMBER(CV71),CV71,NA())</f>
        <v>0.70458928890701644</v>
      </c>
      <c r="CW4" s="315">
        <f t="shared" si="16"/>
        <v>0.89397548033674112</v>
      </c>
      <c r="CX4" s="315">
        <f t="shared" si="16"/>
        <v>1</v>
      </c>
      <c r="CY4" s="143">
        <f>$AP71</f>
        <v>2.02</v>
      </c>
    </row>
    <row r="5" spans="1:116" ht="13.8">
      <c r="A5" s="473" t="s">
        <v>108</v>
      </c>
      <c r="B5" s="288" t="str">
        <f>B61</f>
        <v>2005-04-09 GH-03.DLD</v>
      </c>
      <c r="C5" s="166" t="str">
        <f>IF(ISTEXT(C62),C62,"")</f>
        <v/>
      </c>
      <c r="D5" s="166" t="str">
        <f>IF(ISTEXT(D62),D62,"")</f>
        <v/>
      </c>
      <c r="E5" s="240">
        <f>E62</f>
        <v>2.02</v>
      </c>
      <c r="F5" s="166" t="str">
        <f>IF(ISTEXT(G61),G61,"")</f>
        <v>4B</v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>
        <f>AK18</f>
        <v>0.12982622756492793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>
        <f>AJ18</f>
        <v>0.38058319664646317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0.38058319664646317</v>
      </c>
      <c r="AK18" s="212">
        <f>BT34</f>
        <v>0.12982622756492793</v>
      </c>
      <c r="AL18" s="212">
        <f>BU34</f>
        <v>1</v>
      </c>
      <c r="AM18" s="212">
        <f>BV34</f>
        <v>1.7984894950613357E-2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>
        <f>$E$1</f>
        <v>2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>
        <f>$E$1</f>
        <v>2</v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>
        <f>$E$1</f>
        <v>2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>
        <f>$E$1</f>
        <v>2</v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>
        <f>$E$1</f>
        <v>2</v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>
        <f>$E$1</f>
        <v>2</v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>
        <f>$E$1</f>
        <v>2</v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>
        <f>$E$1</f>
        <v>2</v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>
        <f>$E$1</f>
        <v>2</v>
      </c>
    </row>
    <row r="34" spans="1:104">
      <c r="A34" s="435"/>
      <c r="B34" s="1"/>
      <c r="C34" s="1"/>
      <c r="D34" s="307" t="str">
        <f t="shared" ref="D34:D39" si="67">BG34</f>
        <v>Median</v>
      </c>
      <c r="E34" s="297">
        <f t="shared" ref="E34:E39" si="68">BI34</f>
        <v>2.8</v>
      </c>
      <c r="F34" s="1"/>
      <c r="G34" s="50"/>
      <c r="H34" s="26">
        <f t="shared" ref="H34:K39" si="69">BL34</f>
        <v>22.144146342857145</v>
      </c>
      <c r="I34" s="26">
        <f t="shared" si="69"/>
        <v>7.5188898735081828</v>
      </c>
      <c r="J34" s="26">
        <f t="shared" si="69"/>
        <v>58.319770588853359</v>
      </c>
      <c r="K34" s="26">
        <f t="shared" si="69"/>
        <v>1.0157717559634623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>
        <f>$E$1</f>
        <v>2</v>
      </c>
      <c r="AQ34" s="37" t="s">
        <v>5</v>
      </c>
      <c r="AR34" s="174" t="s">
        <v>34</v>
      </c>
      <c r="AS34" s="38">
        <f t="array" ref="AS34">MEDIAN(IF(ISNUMBER(AS3:AS32),AS3:AS32))</f>
        <v>31.001804880000002</v>
      </c>
      <c r="AT34" s="38">
        <f t="array" ref="AT34">MEDIAN(IF(ISNUMBER(AT3:AT32),AT3:AT32))</f>
        <v>10.521182599999999</v>
      </c>
      <c r="AU34" s="38">
        <f t="array" ref="AU34">MEDIAN(IF(ISNUMBER(AU3:AU32),AU3:AU32))</f>
        <v>81.539807679999996</v>
      </c>
      <c r="AV34" s="38">
        <f t="array" ref="AV34">MEDIAN(IF(ISNUMBER(AV3:AV32),AV3:AV32))</f>
        <v>1.41871152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120.21375</v>
      </c>
      <c r="AZ34" s="348">
        <f t="array" ref="AZ34">MEDIAN(IF(ISNUMBER(AZ3:AZ32),AZ3:AZ32))</f>
        <v>112.30455000000001</v>
      </c>
      <c r="BA34" s="348">
        <f t="array" ref="BA34">MEDIAN(IF(ISNUMBER(BA3:BA32),BA3:BA32))</f>
        <v>85.025949999999995</v>
      </c>
      <c r="BB34" s="348">
        <f t="array" ref="BB34">MEDIAN(IF(ISNUMBER(BB3:BB32),BB3:BB32))</f>
        <v>33.765699999999995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2</v>
      </c>
      <c r="BI34" s="346">
        <f t="array" ref="BI34">MEDIAN(IF(ISNUMBER(BI3:BI32),BI3:BI32))</f>
        <v>2.8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22.144146342857145</v>
      </c>
      <c r="BM34" s="26">
        <f t="array" ref="BM34">MEDIAN(IF(ISNUMBER(BM3:BM32),BM3:BM32))</f>
        <v>7.5188898735081828</v>
      </c>
      <c r="BN34" s="26">
        <f t="array" ref="BN34">MEDIAN(IF(ISNUMBER(BN3:BN32),BN3:BN32))</f>
        <v>58.319770588853359</v>
      </c>
      <c r="BO34" s="26">
        <f t="array" ref="BO34">MEDIAN(IF(ISNUMBER(BO3:BO32),BO3:BO32))</f>
        <v>1.0157717559634623</v>
      </c>
      <c r="BP34" s="452">
        <f>$E$1</f>
        <v>2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0.38058319664646317</v>
      </c>
      <c r="BT34" s="312">
        <f t="array" ref="BT34">MEDIAN(IF(ISNUMBER(BT3:BT32),BT3:BT32))</f>
        <v>0.12982622756492793</v>
      </c>
      <c r="BU34" s="312">
        <f t="array" ref="BU34">MEDIAN(IF(ISNUMBER(BU3:BU32),BU3:BU32))</f>
        <v>1</v>
      </c>
      <c r="BV34" s="312">
        <f t="array" ref="BV34">MEDIAN(IF(ISNUMBER(BV3:BV32),BV3:BV32))</f>
        <v>1.7984894950613357E-2</v>
      </c>
      <c r="BW34" s="452">
        <f>$E$1</f>
        <v>2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0.61941680335353688</v>
      </c>
      <c r="CA34" s="312">
        <f t="array" ref="CA34">MEDIAN(IF(ISNUMBER(CA3:CA32),CA3:CA32))</f>
        <v>0.66028509562602067</v>
      </c>
      <c r="CB34" s="312">
        <f t="array" ref="CB34">MEDIAN(IF(ISNUMBER(CB3:CB32),CB3:CB32))</f>
        <v>0.8701737724350721</v>
      </c>
      <c r="CC34" s="312">
        <f t="array" ref="CC34">MEDIAN(IF(ISNUMBER(CC3:CC32),CC3:CC32))</f>
        <v>0.98201510504938661</v>
      </c>
      <c r="CD34" s="452">
        <f>$E$1</f>
        <v>2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21.128374586893685</v>
      </c>
      <c r="CH34" s="26">
        <f t="array" ref="CH34">MEDIAN(IF(ISNUMBER(CH3:CH32),CH3:CH32))</f>
        <v>6.5031181175447204</v>
      </c>
      <c r="CI34" s="26">
        <f t="array" ref="CI34">MEDIAN(IF(ISNUMBER(CI3:CI32),CI3:CI32))</f>
        <v>57.303998832889903</v>
      </c>
      <c r="CJ34" s="26">
        <f t="array" ref="CJ34">MEDIAN(IF(ISNUMBER(CJ3:CJ32),CJ3:CJ32))</f>
        <v>0</v>
      </c>
      <c r="CK34" s="452">
        <f>$E$1</f>
        <v>2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0.36935758976139332</v>
      </c>
      <c r="CO34" s="312">
        <f t="array" ref="CO34">MEDIAN(IF(ISNUMBER(CO3:CO32),CO3:CO32))</f>
        <v>0.11397986652504755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2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0.63064241023860679</v>
      </c>
      <c r="CV34" s="312">
        <f t="array" ref="CV34">MEDIAN(IF(ISNUMBER(CV3:CV32),CV3:CV32))</f>
        <v>0.69177319141211246</v>
      </c>
      <c r="CW34" s="312">
        <f t="array" ref="CW34">MEDIAN(IF(ISNUMBER(CW3:CW32),CW3:CW32))</f>
        <v>0.88602013347495245</v>
      </c>
      <c r="CX34" s="312">
        <f t="array" ref="CX34">MEDIAN(IF(ISNUMBER(CX3:CX32),CX3:CX32))</f>
        <v>1</v>
      </c>
      <c r="CY34" s="452">
        <f>$E$1</f>
        <v>2</v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0.24537268571428683</v>
      </c>
      <c r="I35" s="38">
        <f t="shared" si="69"/>
        <v>1.2908102622739932</v>
      </c>
      <c r="J35" s="38">
        <f t="shared" si="69"/>
        <v>5.9434294784706552</v>
      </c>
      <c r="K35" s="38">
        <f t="shared" si="69"/>
        <v>1.192405394018774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0.34352175999999801</v>
      </c>
      <c r="AT35" s="129">
        <f t="array" ref="AT35">MAX(IF(ISNUMBER(AT3:AT32),AT3:AT32))-MIN(IF(ISNUMBER(AT3:AT32),AT3:AT32))</f>
        <v>1.8062307999999998</v>
      </c>
      <c r="AU35" s="129">
        <f t="array" ref="AU35">MAX(IF(ISNUMBER(AU3:AU32),AU3:AU32))-MIN(IF(ISNUMBER(AU3:AU32),AU3:AU32))</f>
        <v>8.3220233600000171</v>
      </c>
      <c r="AV35" s="129">
        <f t="array" ref="AV35">MAX(IF(ISNUMBER(AV3:AV32),AV3:AV32))-MIN(IF(ISNUMBER(AV3:AV32),AV3:AV32))</f>
        <v>1.6652729600000002</v>
      </c>
      <c r="AY35" s="129">
        <f t="array" ref="AY35">MAX(IF(ISNUMBER(AY3:AY32),AY3:AY32))-MIN(IF(ISNUMBER(AY3:AY32),AY3:AY32))</f>
        <v>3.0280999999999949</v>
      </c>
      <c r="AZ35" s="129">
        <f t="array" ref="AZ35">MAX(IF(ISNUMBER(AZ3:AZ32),AZ3:AZ32))-MIN(IF(ISNUMBER(AZ3:AZ32),AZ3:AZ32))</f>
        <v>2.491100000000003</v>
      </c>
      <c r="BA35" s="129">
        <f t="array" ref="BA35">MAX(IF(ISNUMBER(BA3:BA32),BA3:BA32))-MIN(IF(ISNUMBER(BA3:BA32),BA3:BA32))</f>
        <v>24.331499999999991</v>
      </c>
      <c r="BB35" s="129">
        <f t="array" ref="BB35">MAX(IF(ISNUMBER(BB3:BB32),BB3:BB32))-MIN(IF(ISNUMBER(BB3:BB32),BB3:BB32))</f>
        <v>1.5962000000000032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0.24537268571428683</v>
      </c>
      <c r="BM35" s="129">
        <f t="array" ref="BM35">MAX(IF(ISNUMBER(BM3:BM32),BM3:BM32))-MIN(IF(ISNUMBER(BM3:BM32),BM3:BM32))</f>
        <v>1.2908102622739932</v>
      </c>
      <c r="BN35" s="129">
        <f t="array" ref="BN35">MAX(IF(ISNUMBER(BN3:BN32),BN3:BN32))-MIN(IF(ISNUMBER(BN3:BN32),BN3:BN32))</f>
        <v>5.9434294784706552</v>
      </c>
      <c r="BO35" s="129">
        <f t="array" ref="BO35">MAX(IF(ISNUMBER(BO3:BO32),BO3:BO32))-MIN(IF(ISNUMBER(BO3:BO32),BO3:BO32))</f>
        <v>1.192405394018774</v>
      </c>
      <c r="BP35" s="14"/>
      <c r="BS35" s="229">
        <f t="array" ref="BS35">MAX(IF(ISNUMBER(BS3:BS32),BS3:BS32))-MIN(IF(ISNUMBER(BS3:BS32),BS3:BS32))</f>
        <v>3.4578268808045154E-2</v>
      </c>
      <c r="BT35" s="229">
        <f t="array" ref="BT35">MAX(IF(ISNUMBER(BT3:BT32),BT3:BT32))-MIN(IF(ISNUMBER(BT3:BT32),BT3:BT32))</f>
        <v>3.5364050122930632E-2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2.2278848762889023E-2</v>
      </c>
      <c r="BW35" s="14"/>
      <c r="BZ35" s="229">
        <f t="array" ref="BZ35">MAX(IF(ISNUMBER(BZ3:BZ32),BZ3:BZ32))-MIN(IF(ISNUMBER(BZ3:BZ32),BZ3:BZ32))</f>
        <v>3.4578268808045154E-2</v>
      </c>
      <c r="CA35" s="229">
        <f t="array" ref="CA35">MAX(IF(ISNUMBER(CA3:CA32),CA3:CA32))-MIN(IF(ISNUMBER(CA3:CA32),CA3:CA32))</f>
        <v>6.2055542781429662E-2</v>
      </c>
      <c r="CB35" s="229">
        <f t="array" ref="CB35">MAX(IF(ISNUMBER(CB3:CB32),CB3:CB32))-MIN(IF(ISNUMBER(CB3:CB32),CB3:CB32))</f>
        <v>3.5364050122930646E-2</v>
      </c>
      <c r="CC35" s="229">
        <f t="array" ref="CC35">MAX(IF(ISNUMBER(CC3:CC32),CC3:CC32))-MIN(IF(ISNUMBER(CC3:CC32),CC3:CC32))</f>
        <v>2.2278848762888992E-2</v>
      </c>
      <c r="CD35" s="13"/>
      <c r="CG35" s="129">
        <f t="array" ref="CG35">MAX(IF(ISNUMBER(CG3:CG32),CG3:CG32))-MIN(IF(ISNUMBER(CG3:CG32),CG3:CG32))</f>
        <v>1.4377780797330608</v>
      </c>
      <c r="CH35" s="129">
        <f t="array" ref="CH35">MAX(IF(ISNUMBER(CH3:CH32),CH3:CH32))-MIN(IF(ISNUMBER(CH3:CH32),CH3:CH32))</f>
        <v>9.8404868255219213E-2</v>
      </c>
      <c r="CI35" s="129">
        <f t="array" ref="CI35">MAX(IF(ISNUMBER(CI3:CI32),CI3:CI32))-MIN(IF(ISNUMBER(CI3:CI32),CI3:CI32))</f>
        <v>7.1358348724894327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2.0904242532850892E-2</v>
      </c>
      <c r="CO35" s="229">
        <f t="array" ref="CO35">MAX(IF(ISNUMBER(CO3:CO32),CO3:CO32))-MIN(IF(ISNUMBER(CO3:CO32),CO3:CO32))</f>
        <v>1.591069372357734E-2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2.0904242532850836E-2</v>
      </c>
      <c r="CV35" s="229">
        <f t="array" ref="CV35">MAX(IF(ISNUMBER(CV3:CV32),CV3:CV32))-MIN(IF(ISNUMBER(CV3:CV32),CV3:CV32))</f>
        <v>2.5632194989807955E-2</v>
      </c>
      <c r="CW35" s="229">
        <f t="array" ref="CW35">MAX(IF(ISNUMBER(CW3:CW32),CW3:CW32))-MIN(IF(ISNUMBER(CW3:CW32),CW3:CW32))</f>
        <v>1.591069372357734E-2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69"/>
        <v>0</v>
      </c>
      <c r="J36" s="38">
        <f t="shared" si="69"/>
        <v>0</v>
      </c>
      <c r="K36" s="38">
        <f t="shared" si="69"/>
        <v>0</v>
      </c>
      <c r="AN36" s="117"/>
      <c r="AO36" s="157"/>
      <c r="AP36" s="173"/>
      <c r="AR36" s="128" t="s">
        <v>83</v>
      </c>
      <c r="AS36" s="229">
        <f>(AS34-AS38)/(((AS34+AS38))/2)</f>
        <v>0</v>
      </c>
      <c r="AT36" s="229">
        <f t="shared" ref="AT36:AV36" si="71">(AT34-AT38)/(((AT34+AT38))/2)</f>
        <v>0</v>
      </c>
      <c r="AU36" s="229">
        <f t="shared" si="71"/>
        <v>0</v>
      </c>
      <c r="AV36" s="229">
        <f t="shared" si="71"/>
        <v>0</v>
      </c>
      <c r="AY36" s="229">
        <f>(AY34-AY38)/(((AY34+AY38))/2)</f>
        <v>0</v>
      </c>
      <c r="AZ36" s="229">
        <f t="shared" ref="AZ36:BB36" si="72">(AZ34-AZ38)/(((AZ34+AZ38))/2)</f>
        <v>0</v>
      </c>
      <c r="BA36" s="229">
        <f t="shared" si="72"/>
        <v>0</v>
      </c>
      <c r="BB36" s="229">
        <f t="shared" si="72"/>
        <v>0</v>
      </c>
      <c r="BC36" s="140"/>
      <c r="BG36" s="296" t="str">
        <f t="shared" si="70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3">(BM34-BM38)/(((BM34+BM38))/2)</f>
        <v>0</v>
      </c>
      <c r="BN36" s="229">
        <f t="shared" si="73"/>
        <v>0</v>
      </c>
      <c r="BO36" s="229">
        <f t="shared" si="73"/>
        <v>0</v>
      </c>
      <c r="BP36" s="14"/>
      <c r="BS36" s="229">
        <f>(BS34-BS38)/(((BS34+BS38))/2)</f>
        <v>0</v>
      </c>
      <c r="BT36" s="229">
        <f t="shared" ref="BT36:BV36" si="74">(BT34-BT38)/(((BT34+BT38))/2)</f>
        <v>0</v>
      </c>
      <c r="BU36" s="229">
        <f t="shared" si="74"/>
        <v>0</v>
      </c>
      <c r="BV36" s="229">
        <f t="shared" si="74"/>
        <v>0</v>
      </c>
      <c r="BW36" s="14"/>
      <c r="BZ36" s="229">
        <f t="shared" ref="BZ36:CC36" si="75">(BZ34-BZ38)/(((BZ34+BZ38))/2)</f>
        <v>0</v>
      </c>
      <c r="CA36" s="229">
        <f t="shared" si="75"/>
        <v>0</v>
      </c>
      <c r="CB36" s="229">
        <f t="shared" si="75"/>
        <v>0</v>
      </c>
      <c r="CC36" s="229">
        <f t="shared" si="75"/>
        <v>0</v>
      </c>
      <c r="CD36" s="13"/>
      <c r="CG36" s="229">
        <f>(CG34-CG38)/(((CG34+CG38))/2)</f>
        <v>0</v>
      </c>
      <c r="CH36" s="229">
        <f t="shared" ref="CH36:CI36" si="76">(CH34-CH38)/(((CH34+CH38))/2)</f>
        <v>0</v>
      </c>
      <c r="CI36" s="229">
        <f t="shared" si="76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77">(CO34-CO38)/(((CO34+CO38))/2)</f>
        <v>0</v>
      </c>
      <c r="CP36" s="229">
        <f t="shared" si="77"/>
        <v>0</v>
      </c>
      <c r="CQ36" s="229" t="e">
        <f t="shared" si="77"/>
        <v>#DIV/0!</v>
      </c>
      <c r="CR36" s="14"/>
      <c r="CU36" s="229">
        <f t="shared" ref="CU36:CX36" si="78">(CU34-CU38)/(((CU34+CU38))/2)</f>
        <v>0</v>
      </c>
      <c r="CV36" s="229">
        <f t="shared" si="78"/>
        <v>0</v>
      </c>
      <c r="CW36" s="229">
        <f t="shared" si="78"/>
        <v>0</v>
      </c>
      <c r="CX36" s="229">
        <f t="shared" si="78"/>
        <v>0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2</v>
      </c>
      <c r="F37" s="52"/>
      <c r="G37" s="175"/>
      <c r="H37" s="291">
        <f t="shared" si="69"/>
        <v>2</v>
      </c>
      <c r="I37" s="291">
        <f t="shared" si="69"/>
        <v>2</v>
      </c>
      <c r="J37" s="291">
        <f t="shared" si="69"/>
        <v>2</v>
      </c>
      <c r="K37" s="291">
        <f t="shared" si="69"/>
        <v>2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2</v>
      </c>
      <c r="AT37" s="291">
        <f>COUNT(AT3:AT32)</f>
        <v>2</v>
      </c>
      <c r="AU37" s="291">
        <f>COUNT(AU3:AU32)</f>
        <v>2</v>
      </c>
      <c r="AV37" s="291">
        <f>COUNT(AV3:AV32)</f>
        <v>2</v>
      </c>
      <c r="AW37" s="292"/>
      <c r="AX37" s="290" t="str">
        <f>$AR37</f>
        <v>n</v>
      </c>
      <c r="AY37" s="291">
        <f>COUNT(AY3:AY32)</f>
        <v>2</v>
      </c>
      <c r="AZ37" s="291">
        <f>COUNT(AZ3:AZ32)</f>
        <v>2</v>
      </c>
      <c r="BA37" s="291">
        <f>COUNT(BA3:BA32)</f>
        <v>2</v>
      </c>
      <c r="BB37" s="291">
        <f>COUNT(BB3:BB32)</f>
        <v>2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2</v>
      </c>
      <c r="BJ37" s="54"/>
      <c r="BK37" s="290" t="str">
        <f>$AR37</f>
        <v>n</v>
      </c>
      <c r="BL37" s="291">
        <f>COUNT(BL3:BL32)</f>
        <v>2</v>
      </c>
      <c r="BM37" s="291">
        <f>COUNT(BM3:BM32)</f>
        <v>2</v>
      </c>
      <c r="BN37" s="291">
        <f>COUNT(BN3:BN32)</f>
        <v>2</v>
      </c>
      <c r="BO37" s="291">
        <f>COUNT(BO3:BO32)</f>
        <v>2</v>
      </c>
      <c r="BP37" s="177"/>
      <c r="BQ37" s="54"/>
      <c r="BR37" s="290" t="str">
        <f>$AR37</f>
        <v>n</v>
      </c>
      <c r="BS37" s="291">
        <f>COUNT(BS3:BS32)</f>
        <v>2</v>
      </c>
      <c r="BT37" s="291">
        <f>COUNT(BT3:BT32)</f>
        <v>2</v>
      </c>
      <c r="BU37" s="291">
        <f>COUNT(BU3:BU32)</f>
        <v>2</v>
      </c>
      <c r="BV37" s="291">
        <f>COUNT(BV3:BV32)</f>
        <v>2</v>
      </c>
      <c r="BW37" s="177"/>
      <c r="BX37" s="54"/>
      <c r="BY37" s="290" t="str">
        <f>$AR37</f>
        <v>n</v>
      </c>
      <c r="BZ37" s="291">
        <f>COUNT(BZ3:BZ32)</f>
        <v>2</v>
      </c>
      <c r="CA37" s="291">
        <f>COUNT(CA3:CA32)</f>
        <v>2</v>
      </c>
      <c r="CB37" s="291">
        <f>COUNT(CB3:CB32)</f>
        <v>2</v>
      </c>
      <c r="CC37" s="291">
        <f>COUNT(CC3:CC32)</f>
        <v>2</v>
      </c>
      <c r="CD37" s="178"/>
      <c r="CE37" s="54"/>
      <c r="CF37" s="290" t="str">
        <f>$AR37</f>
        <v>n</v>
      </c>
      <c r="CG37" s="291">
        <f>COUNT(CG3:CG32)</f>
        <v>2</v>
      </c>
      <c r="CH37" s="291">
        <f>COUNT(CH3:CH32)</f>
        <v>2</v>
      </c>
      <c r="CI37" s="291">
        <f>COUNT(CI3:CI32)</f>
        <v>2</v>
      </c>
      <c r="CJ37" s="291">
        <f>COUNT(CJ3:CJ32)</f>
        <v>2</v>
      </c>
      <c r="CK37" s="177"/>
      <c r="CL37" s="54"/>
      <c r="CM37" s="290" t="str">
        <f>$AR37</f>
        <v>n</v>
      </c>
      <c r="CN37" s="291">
        <f>COUNT(CN3:CN32)</f>
        <v>2</v>
      </c>
      <c r="CO37" s="291">
        <f>COUNT(CO3:CO32)</f>
        <v>2</v>
      </c>
      <c r="CP37" s="291">
        <f>COUNT(CP3:CP32)</f>
        <v>2</v>
      </c>
      <c r="CQ37" s="291">
        <f>COUNT(CQ3:CQ32)</f>
        <v>2</v>
      </c>
      <c r="CR37" s="177"/>
      <c r="CS37" s="54"/>
      <c r="CT37" s="290" t="str">
        <f>$AR37</f>
        <v>n</v>
      </c>
      <c r="CU37" s="291">
        <f>COUNT(CU3:CU32)</f>
        <v>2</v>
      </c>
      <c r="CV37" s="291">
        <f>COUNT(CV3:CV32)</f>
        <v>2</v>
      </c>
      <c r="CW37" s="291">
        <f>COUNT(CW3:CW32)</f>
        <v>2</v>
      </c>
      <c r="CX37" s="291">
        <f>COUNT(CX3:CX32)</f>
        <v>2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>
        <f t="shared" si="68"/>
        <v>2.8</v>
      </c>
      <c r="F38" s="214"/>
      <c r="G38" s="215"/>
      <c r="H38" s="295">
        <f t="shared" si="69"/>
        <v>22.144146342857145</v>
      </c>
      <c r="I38" s="295">
        <f t="shared" si="69"/>
        <v>7.5188898735081828</v>
      </c>
      <c r="J38" s="295">
        <f t="shared" si="69"/>
        <v>58.319770588853359</v>
      </c>
      <c r="K38" s="295">
        <f t="shared" si="69"/>
        <v>1.0157717559634623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31.001804880000002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10.521182599999999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81.539807679999996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1.41871152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120.21375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112.30455000000001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85.025949999999995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33.765699999999995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2</v>
      </c>
      <c r="BI38" s="311">
        <f>AVERAGE(BI3:BI32)</f>
        <v>2.8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22.144146342857145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7.5188898735081828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58.319770588853359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1.0157717559634623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0.38058319664646317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0.12982622756492793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1.7984894950613357E-2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0.61941680335353688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0.66028509562602067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0.8701737724350721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0.98201510504938661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21.128374586893685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6.5031181175447204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57.303998832889903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0.36935758976139332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0.11397986652504755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0.63064241023860679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0.69177319141211246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0.88602013347495245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>
        <f t="shared" si="68"/>
        <v>0</v>
      </c>
      <c r="F39" s="214"/>
      <c r="G39" s="214"/>
      <c r="H39" s="295">
        <f t="shared" si="69"/>
        <v>0.17350468998659788</v>
      </c>
      <c r="I39" s="295">
        <f t="shared" si="69"/>
        <v>0.91274068967913535</v>
      </c>
      <c r="J39" s="295">
        <f t="shared" si="69"/>
        <v>4.2026392877307428</v>
      </c>
      <c r="K39" s="295">
        <f t="shared" si="69"/>
        <v>0.84315794003409228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>
        <f t="array" ref="AS39">STDEV(IF(ISNUMBER(AS3:AS32),AS3:AS32))</f>
        <v>0.24290656598035715</v>
      </c>
      <c r="AT39" s="293">
        <f t="array" ref="AT39">STDEV(IF(ISNUMBER(AT3:AT32),AT3:AT32))</f>
        <v>1.2771980470680282</v>
      </c>
      <c r="AU39" s="293">
        <f t="array" ref="AU39">STDEV(IF(ISNUMBER(AU3:AU32),AU3:AU32))</f>
        <v>5.8845591510491939</v>
      </c>
      <c r="AV39" s="293">
        <f t="array" ref="AV39">STDEV(IF(ISNUMBER(AV3:AV32),AV3:AV32))</f>
        <v>1.1775258025425943</v>
      </c>
      <c r="AW39" s="237"/>
      <c r="AX39" s="235" t="str">
        <f>$AR39</f>
        <v>SD</v>
      </c>
      <c r="AY39" s="293">
        <f t="array" ref="AY39">STDEV(IF(ISNUMBER(AY3:AY32),AY3:AY32))</f>
        <v>2.1411900441114686</v>
      </c>
      <c r="AZ39" s="293">
        <f t="array" ref="AZ39">STDEV(IF(ISNUMBER(AZ3:AZ32),AZ3:AZ32))</f>
        <v>1.7614737026127754</v>
      </c>
      <c r="BA39" s="293">
        <f t="array" ref="BA39">STDEV(IF(ISNUMBER(BA3:BA32),BA3:BA32))</f>
        <v>17.20496864644052</v>
      </c>
      <c r="BB39" s="293">
        <f t="array" ref="BB39">STDEV(IF(ISNUMBER(BB3:BB32),BB3:BB32))</f>
        <v>1.1286838441302272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2</v>
      </c>
      <c r="BI39" s="311">
        <f>STDEV(BI3:BI32)</f>
        <v>0</v>
      </c>
      <c r="BJ39" s="232"/>
      <c r="BK39" s="235" t="str">
        <f>$AR39</f>
        <v>SD</v>
      </c>
      <c r="BL39" s="293">
        <f t="array" ref="BL39">STDEV(IF(ISNUMBER(BL3:BL32),BL3:BL32))</f>
        <v>0.17350468998659788</v>
      </c>
      <c r="BM39" s="293">
        <f t="array" ref="BM39">STDEV(IF(ISNUMBER(BM3:BM32),BM3:BM32))</f>
        <v>0.91274068967913535</v>
      </c>
      <c r="BN39" s="293">
        <f t="array" ref="BN39">STDEV(IF(ISNUMBER(BN3:BN32),BN3:BN32))</f>
        <v>4.2026392877307428</v>
      </c>
      <c r="BO39" s="293">
        <f t="array" ref="BO39">STDEV(IF(ISNUMBER(BO3:BO32),BO3:BO32))</f>
        <v>0.84315794003409228</v>
      </c>
      <c r="BP39" s="234"/>
      <c r="BQ39" s="232"/>
      <c r="BR39" s="235" t="str">
        <f>$AR39</f>
        <v>SD</v>
      </c>
      <c r="BS39" s="313">
        <f t="array" ref="BS39">STDEV(IF(ISNUMBER(BS3:BS32),BS3:BS32))</f>
        <v>2.4450528355859969E-2</v>
      </c>
      <c r="BT39" s="313">
        <f t="array" ref="BT39">STDEV(IF(ISNUMBER(BT3:BT32),BT3:BT32))</f>
        <v>2.5006159652145206E-2</v>
      </c>
      <c r="BU39" s="313">
        <f t="array" ref="BU39">STDEV(IF(ISNUMBER(BU3:BU32),BU3:BU32))</f>
        <v>0</v>
      </c>
      <c r="BV39" s="313">
        <f t="array" ref="BV39">STDEV(IF(ISNUMBER(BV3:BV32),BV3:BV32))</f>
        <v>1.5753525037268356E-2</v>
      </c>
      <c r="BW39" s="234"/>
      <c r="BX39" s="235"/>
      <c r="BY39" s="235" t="str">
        <f>$AR39</f>
        <v>SD</v>
      </c>
      <c r="BZ39" s="313">
        <f t="array" ref="BZ39">STDEV(IF(ISNUMBER(BZ3:BZ32),BZ3:BZ32))</f>
        <v>2.4450528355860007E-2</v>
      </c>
      <c r="CA39" s="313">
        <f t="array" ref="CA39">STDEV(IF(ISNUMBER(CA3:CA32),CA3:CA32))</f>
        <v>4.3879895110962637E-2</v>
      </c>
      <c r="CB39" s="313">
        <f t="array" ref="CB39">STDEV(IF(ISNUMBER(CB3:CB32),CB3:CB32))</f>
        <v>2.500615965214522E-2</v>
      </c>
      <c r="CC39" s="313">
        <f t="array" ref="CC39">STDEV(IF(ISNUMBER(CC3:CC32),CC3:CC32))</f>
        <v>1.5753525037268332E-2</v>
      </c>
      <c r="CD39" s="234"/>
      <c r="CE39" s="238"/>
      <c r="CF39" s="235" t="str">
        <f>$AR39</f>
        <v>SD</v>
      </c>
      <c r="CG39" s="293">
        <f t="array" ref="CG39">STDEV(IF(ISNUMBER(CG3:CG32),CG3:CG32))</f>
        <v>1.0166626300205057</v>
      </c>
      <c r="CH39" s="293">
        <f t="array" ref="CH39">STDEV(IF(ISNUMBER(CH3:CH32),CH3:CH32))</f>
        <v>6.9582749645034331E-2</v>
      </c>
      <c r="CI39" s="293">
        <f t="array" ref="CI39">STDEV(IF(ISNUMBER(CI3:CI32),CI3:CI32))</f>
        <v>5.0457972277646226</v>
      </c>
      <c r="CJ39" s="293">
        <f t="array" ref="CJ39">STDEV(IF(ISNUMBER(CJ3:CJ32),CJ3:CJ32))</f>
        <v>0</v>
      </c>
      <c r="CK39" s="234"/>
      <c r="CL39" s="238"/>
      <c r="CM39" s="235" t="str">
        <f>$AR39</f>
        <v>SD</v>
      </c>
      <c r="CN39" s="313">
        <f t="array" ref="CN39">STDEV(IF(ISNUMBER(CN3:CN32),CN3:CN32))</f>
        <v>1.4781531650547115E-2</v>
      </c>
      <c r="CO39" s="313">
        <f t="array" ref="CO39">STDEV(IF(ISNUMBER(CO3:CO32),CO3:CO32))</f>
        <v>1.1250559425323712E-2</v>
      </c>
      <c r="CP39" s="313">
        <f t="array" ref="CP39">STDEV(IF(ISNUMBER(CP3:CP32),CP3:CP32))</f>
        <v>0</v>
      </c>
      <c r="CQ39" s="313">
        <f t="array" ref="CQ39">STDEV(IF(ISNUMBER(CQ3:CQ32),CQ3:CQ32))</f>
        <v>0</v>
      </c>
      <c r="CR39" s="234"/>
      <c r="CS39" s="238"/>
      <c r="CT39" s="235" t="str">
        <f>$AR39</f>
        <v>SD</v>
      </c>
      <c r="CU39" s="313">
        <f t="array" ref="CU39">STDEV(IF(ISNUMBER(CU3:CU32),CU3:CU32))</f>
        <v>1.4781531650547077E-2</v>
      </c>
      <c r="CV39" s="313">
        <f t="array" ref="CV39">STDEV(IF(ISNUMBER(CV3:CV32),CV3:CV32))</f>
        <v>1.8124698893989055E-2</v>
      </c>
      <c r="CW39" s="313">
        <f t="array" ref="CW39">STDEV(IF(ISNUMBER(CW3:CW32),CW3:CW32))</f>
        <v>1.1250559425323778E-2</v>
      </c>
      <c r="CX39" s="313">
        <f t="array" ref="CX39">STDEV(IF(ISNUMBER(CX3:CX32),CX3:CX32))</f>
        <v>0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2005-04-09 GH-03.DLD</v>
      </c>
      <c r="C41" s="277"/>
      <c r="D41" s="30"/>
      <c r="F41" s="55" t="s">
        <v>16</v>
      </c>
      <c r="G41" s="56" t="str">
        <f>AC45</f>
        <v>4A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>
        <f>E42</f>
        <v>2.0099999999999998</v>
      </c>
      <c r="B42" s="286" t="s">
        <v>26</v>
      </c>
      <c r="C42" s="88">
        <f>AB47</f>
        <v>439</v>
      </c>
      <c r="D42" s="88">
        <f>AB49</f>
        <v>0</v>
      </c>
      <c r="E42" s="278">
        <f>IF(ISNUMBER(AB50),AB50+0.01*AB51,"")</f>
        <v>2.0099999999999998</v>
      </c>
      <c r="F42" s="279" t="s">
        <v>10</v>
      </c>
      <c r="G42" s="98">
        <f>AE53</f>
        <v>-1.2888999999999999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2.0099999999999998</v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1</v>
      </c>
      <c r="AL42" s="182">
        <f t="shared" si="80"/>
        <v>1.8</v>
      </c>
      <c r="AM42" s="182">
        <f t="shared" si="80"/>
        <v>2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1.4</v>
      </c>
      <c r="F43" s="279" t="s">
        <v>11</v>
      </c>
      <c r="G43" s="99">
        <f>AE54</f>
        <v>0.02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1.4</v>
      </c>
      <c r="AK43" s="60">
        <f>$E43-($E43*(SUM(AJ42:AK42))/1000)/2</f>
        <v>1.3993</v>
      </c>
      <c r="AL43" s="60">
        <f>$E43-($E43*(SUM(AJ42:AL42))/1000)/2</f>
        <v>1.3980399999999999</v>
      </c>
      <c r="AM43" s="60">
        <f>$E43-($E43*(SUM(AJ42:AM42))/1000)/2</f>
        <v>1.3966399999999999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 t="str">
        <f>AB46</f>
        <v>CCP</v>
      </c>
      <c r="C44" s="283" t="s">
        <v>7</v>
      </c>
      <c r="D44" s="283" t="s">
        <v>176</v>
      </c>
      <c r="E44" s="100">
        <f>AB53</f>
        <v>2.8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254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255</v>
      </c>
      <c r="AC45" s="245" t="s">
        <v>137</v>
      </c>
      <c r="AD45" s="246" t="s">
        <v>37</v>
      </c>
      <c r="AE45" s="247" t="s">
        <v>38</v>
      </c>
      <c r="AF45" s="248" t="s">
        <v>256</v>
      </c>
      <c r="AG45" s="102" t="s">
        <v>185</v>
      </c>
      <c r="AH45" s="15" t="s">
        <v>34</v>
      </c>
      <c r="AI45" s="15" t="s">
        <v>186</v>
      </c>
      <c r="AJ45" s="507" t="s">
        <v>165</v>
      </c>
      <c r="AK45" s="31" t="s">
        <v>179</v>
      </c>
      <c r="AL45" s="32" t="s">
        <v>180</v>
      </c>
      <c r="AM45" s="33" t="s">
        <v>207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178</v>
      </c>
      <c r="AC46" s="250"/>
      <c r="AD46" s="251" t="s">
        <v>40</v>
      </c>
      <c r="AE46" s="247">
        <v>37.000300000000003</v>
      </c>
      <c r="AF46" s="252" t="s">
        <v>187</v>
      </c>
      <c r="AG46" s="102"/>
      <c r="AH46" s="186" t="s">
        <v>188</v>
      </c>
      <c r="AI46" s="186"/>
      <c r="AJ46" s="133">
        <v>0</v>
      </c>
      <c r="AK46" s="133">
        <v>1</v>
      </c>
      <c r="AL46" s="133">
        <v>1.8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>
        <v>439</v>
      </c>
      <c r="AC47" s="254"/>
      <c r="AD47" s="158" t="s">
        <v>42</v>
      </c>
      <c r="AE47" s="117"/>
      <c r="AF47" s="255" t="s">
        <v>6</v>
      </c>
      <c r="AG47" s="14"/>
      <c r="AH47" s="186" t="s">
        <v>189</v>
      </c>
      <c r="AI47" s="186"/>
      <c r="AJ47" s="188">
        <v>1.2662037037037039E-2</v>
      </c>
      <c r="AK47" s="188">
        <v>1.8854166666666665E-2</v>
      </c>
      <c r="AL47" s="188">
        <v>5.2789351851851851E-2</v>
      </c>
      <c r="AM47" s="188">
        <v>6.8668981481481484E-2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>
        <v>5.8418000000000001</v>
      </c>
      <c r="AF48" s="255" t="s">
        <v>190</v>
      </c>
      <c r="AG48" s="14"/>
      <c r="AH48" s="186" t="s">
        <v>191</v>
      </c>
      <c r="AI48" s="188"/>
      <c r="AJ48" s="188">
        <v>1.4074074074074074E-2</v>
      </c>
      <c r="AK48" s="188">
        <v>2.0162037037037037E-2</v>
      </c>
      <c r="AL48" s="188">
        <v>5.3622685185185183E-2</v>
      </c>
      <c r="AM48" s="188">
        <v>6.9398148148148139E-2</v>
      </c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2.0400000000000001E-2</v>
      </c>
      <c r="AF49" s="255" t="s">
        <v>190</v>
      </c>
      <c r="AG49" s="177"/>
      <c r="AH49" s="189" t="s">
        <v>192</v>
      </c>
      <c r="AI49" s="190"/>
      <c r="AJ49" s="189">
        <v>60</v>
      </c>
      <c r="AK49" s="189">
        <v>57</v>
      </c>
      <c r="AL49" s="189">
        <v>36</v>
      </c>
      <c r="AM49" s="189">
        <v>31</v>
      </c>
      <c r="AP49" s="74"/>
      <c r="AQ49" s="69">
        <f>BN51</f>
        <v>55.348055849618035</v>
      </c>
      <c r="AR49" s="70">
        <f>BO51</f>
        <v>1.6119744529728492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2</v>
      </c>
      <c r="AC50" s="254"/>
      <c r="AD50" s="158" t="s">
        <v>47</v>
      </c>
      <c r="AE50" s="117">
        <v>86.2</v>
      </c>
      <c r="AF50" s="255" t="s">
        <v>193</v>
      </c>
      <c r="AG50" s="103"/>
      <c r="AH50" s="104" t="s">
        <v>257</v>
      </c>
      <c r="AI50" s="16" t="s">
        <v>6</v>
      </c>
      <c r="AJ50" s="71">
        <v>121.7278</v>
      </c>
      <c r="AK50" s="71">
        <v>113.5501</v>
      </c>
      <c r="AL50" s="71">
        <v>72.860200000000006</v>
      </c>
      <c r="AM50" s="71">
        <v>32.967599999999997</v>
      </c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3Ama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194</v>
      </c>
      <c r="AH51" s="106" t="s">
        <v>258</v>
      </c>
      <c r="AI51" s="17" t="s">
        <v>4</v>
      </c>
      <c r="AJ51" s="8">
        <v>31.9757</v>
      </c>
      <c r="AK51" s="8">
        <v>12.4064</v>
      </c>
      <c r="AL51" s="8">
        <v>77.5471</v>
      </c>
      <c r="AM51" s="8">
        <v>1.6217999999999999</v>
      </c>
      <c r="AP51" s="459">
        <f>E42</f>
        <v>2.0099999999999998</v>
      </c>
      <c r="AQ51" s="510" t="s">
        <v>5</v>
      </c>
      <c r="AR51" s="37" t="s">
        <v>4</v>
      </c>
      <c r="AS51" s="21">
        <f>IF(ISNUMBER(AJ51),AJ51-($G43*AJ50+$G42),"")</f>
        <v>30.830044000000001</v>
      </c>
      <c r="AT51" s="21">
        <f>IF(ISNUMBER(AK51),AK51-($G43*AK50+$G42),"")</f>
        <v>11.424298</v>
      </c>
      <c r="AU51" s="21">
        <f>IF(ISNUMBER(AL51),AL51-($G43*AL50+$G42),"")</f>
        <v>77.378795999999994</v>
      </c>
      <c r="AV51" s="21">
        <f>IF(ISNUMBER(AM51),AM51-($G43*AM50+$G42),"")</f>
        <v>2.2513480000000001</v>
      </c>
      <c r="AW51" s="107" t="str">
        <f>$AH50</f>
        <v>4A: O2 concentration</v>
      </c>
      <c r="AX51" s="107" t="str">
        <f>$AI50</f>
        <v>µM</v>
      </c>
      <c r="AY51" s="73">
        <f>IF(ISNUMBER(AJ50),AJ50,"")</f>
        <v>121.7278</v>
      </c>
      <c r="AZ51" s="73">
        <f>IF(ISNUMBER(AK50),AK50,"")</f>
        <v>113.5501</v>
      </c>
      <c r="BA51" s="73">
        <f>IF(ISNUMBER(AL50),AL50,"")</f>
        <v>72.860200000000006</v>
      </c>
      <c r="BB51" s="73">
        <f t="shared" ref="BB51" si="88">IF(ISNUMBER(AM50),AM50,"")</f>
        <v>32.967599999999997</v>
      </c>
      <c r="BC51" s="166"/>
      <c r="BD51" s="176" t="str">
        <f>$AA44</f>
        <v>2005-04-09 GH-03.DLD</v>
      </c>
      <c r="BE51" s="193">
        <f>$D42</f>
        <v>0</v>
      </c>
      <c r="BF51" s="124">
        <f>$B43</f>
        <v>0</v>
      </c>
      <c r="BG51" s="194">
        <f>$E42</f>
        <v>2.0099999999999998</v>
      </c>
      <c r="BH51" s="195"/>
      <c r="BI51" s="196">
        <f>IF(ISNUMBER($AB53),$AB53,"")</f>
        <v>2.8</v>
      </c>
      <c r="BJ51" s="511" t="str">
        <f>AH2</f>
        <v>O2 flow per cells</v>
      </c>
      <c r="BK51" s="511" t="str">
        <f>AI2</f>
        <v>pmol/(s*Mill)</v>
      </c>
      <c r="BL51" s="7">
        <f>IF(ISNUMBER(AS51),AS51/AJ43,"")</f>
        <v>22.021460000000001</v>
      </c>
      <c r="BM51" s="7">
        <f>IF(ISNUMBER(AT51),AT51/AK43,"")</f>
        <v>8.1642950046451794</v>
      </c>
      <c r="BN51" s="7">
        <f>IF(ISNUMBER(AU51),AU51/AL43,"")</f>
        <v>55.348055849618035</v>
      </c>
      <c r="BO51" s="7">
        <f>IF(ISNUMBER(AV51),AV51/AM43,"")</f>
        <v>1.6119744529728492</v>
      </c>
      <c r="BP51" s="194">
        <f>$E42</f>
        <v>2.0099999999999998</v>
      </c>
      <c r="BQ51" s="6" t="s">
        <v>19</v>
      </c>
      <c r="BR51" s="6" t="s">
        <v>20</v>
      </c>
      <c r="BS51" s="5">
        <f>IF(ISNUMBER(BL51),BL51/$AQ49,"")</f>
        <v>0.39787233105048575</v>
      </c>
      <c r="BT51" s="5">
        <f>IF(ISNUMBER(BM51),BM51/$AQ49,"")</f>
        <v>0.14750825262639325</v>
      </c>
      <c r="BU51" s="5">
        <f t="shared" ref="BU51" si="89">IF(ISNUMBER(BN51),BN51/$AQ49,"")</f>
        <v>1</v>
      </c>
      <c r="BV51" s="5">
        <f>IF(ISNUMBER(BO51),BO51/$AQ49,"")</f>
        <v>2.912431933205787E-2</v>
      </c>
      <c r="BW51" s="194">
        <f>$E42</f>
        <v>2.0099999999999998</v>
      </c>
      <c r="BX51" s="6" t="s">
        <v>18</v>
      </c>
      <c r="BY51" s="6" t="s">
        <v>21</v>
      </c>
      <c r="BZ51" s="5">
        <f>IF(ISNUMBER(BN51),1-BL51/BN51,"")</f>
        <v>0.60212766894951431</v>
      </c>
      <c r="CA51" s="5">
        <f>IF(ISNUMBER(BM51),1-BM51/BL51,"")</f>
        <v>0.62925732423530589</v>
      </c>
      <c r="CB51" s="5">
        <f>IF(ISNUMBER(BM51),1-BM51/BN51,"")</f>
        <v>0.85249174737360678</v>
      </c>
      <c r="CC51" s="5">
        <f>IF(ISNUMBER(BN51),1-BO51/BN51,"")</f>
        <v>0.97087568066794216</v>
      </c>
      <c r="CD51" s="194">
        <f>$E42</f>
        <v>2.0099999999999998</v>
      </c>
      <c r="CE51" s="511" t="str">
        <f>AH3</f>
        <v>O2 flow per cells (mt: ROX-corr.)</v>
      </c>
      <c r="CF51" s="511" t="str">
        <f>AI2</f>
        <v>pmol/(s*Mill)</v>
      </c>
      <c r="CG51" s="7">
        <f>IF(ISNUMBER(BL51),BL51-$AR49,"")</f>
        <v>20.409485547027153</v>
      </c>
      <c r="CH51" s="7">
        <f>IF(ISNUMBER(BM51),BM51-$AR49,"")</f>
        <v>6.55232055167233</v>
      </c>
      <c r="CI51" s="7">
        <f>IF(ISNUMBER(BN51),BN51-$AR49,"")</f>
        <v>53.736081396645183</v>
      </c>
      <c r="CJ51" s="7">
        <f>IF(ISNUMBER(BO51),BO51-$AR49,"")</f>
        <v>0</v>
      </c>
      <c r="CK51" s="194">
        <f>$E42</f>
        <v>2.0099999999999998</v>
      </c>
      <c r="CL51" s="6" t="s">
        <v>3</v>
      </c>
      <c r="CM51" s="6" t="s">
        <v>1</v>
      </c>
      <c r="CN51" s="5">
        <f>IF(ISNUMBER(CG51),CG51/($AQ49-$AR49),"")</f>
        <v>0.37980971102781874</v>
      </c>
      <c r="CO51" s="5">
        <f>IF(ISNUMBER(CH51),CH51/($AQ49-$AR49),"")</f>
        <v>0.12193521338683622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2.0099999999999998</v>
      </c>
      <c r="CS51" s="6" t="s">
        <v>2</v>
      </c>
      <c r="CT51" s="6" t="s">
        <v>1</v>
      </c>
      <c r="CU51" s="5">
        <f>IF(ISNUMBER(CI51),1-CG51/CI51,"")</f>
        <v>0.62019028897218131</v>
      </c>
      <c r="CV51" s="5">
        <f>IF(ISNUMBER(CH51),1-CH51/CG51,"")</f>
        <v>0.67895709391720849</v>
      </c>
      <c r="CW51" s="5">
        <f>IF(ISNUMBER(CH51),1-CH51/CI51,"")</f>
        <v>0.87806478661316378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1.4</v>
      </c>
      <c r="AC52" s="259" t="s">
        <v>195</v>
      </c>
      <c r="AD52" s="158" t="s">
        <v>196</v>
      </c>
      <c r="AE52" s="256" t="s">
        <v>240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2.8</v>
      </c>
      <c r="AC53" s="261" t="s">
        <v>197</v>
      </c>
      <c r="AD53" s="262" t="s">
        <v>52</v>
      </c>
      <c r="AE53" s="263">
        <v>-1.2888999999999999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0.02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2005-04-09 GH-03.DLD</v>
      </c>
      <c r="C61" s="277"/>
      <c r="F61" s="55" t="s">
        <v>16</v>
      </c>
      <c r="G61" s="56" t="str">
        <f>AC65</f>
        <v>4B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>
        <f>E62</f>
        <v>2.02</v>
      </c>
      <c r="B62" s="286" t="s">
        <v>26</v>
      </c>
      <c r="C62" s="88">
        <f>AB67</f>
        <v>439</v>
      </c>
      <c r="D62" s="88">
        <f>AB69</f>
        <v>0</v>
      </c>
      <c r="E62" s="278">
        <f>IF(ISNUMBER(AB70),AB70+0.01*AB71,"")</f>
        <v>2.02</v>
      </c>
      <c r="F62" s="279" t="s">
        <v>10</v>
      </c>
      <c r="G62" s="98">
        <f>AE73</f>
        <v>-1.1758999999999999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>
        <f>$E62</f>
        <v>2.02</v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1</v>
      </c>
      <c r="AL62" s="182">
        <f t="shared" si="91"/>
        <v>1.5</v>
      </c>
      <c r="AM62" s="182">
        <f t="shared" si="91"/>
        <v>2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1.4</v>
      </c>
      <c r="F63" s="279" t="s">
        <v>11</v>
      </c>
      <c r="G63" s="99">
        <f>AE74</f>
        <v>1.9199999999999998E-2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1.4</v>
      </c>
      <c r="AK63" s="60">
        <f>$E63-($E63*(SUM(AJ62:AK62))/1000)/2</f>
        <v>1.3993</v>
      </c>
      <c r="AL63" s="60">
        <f>$E63-($E63*(SUM(AJ62:AL62))/1000)/2</f>
        <v>1.39825</v>
      </c>
      <c r="AM63" s="60">
        <f>$E63-($E63*(SUM(AJ62:AM62))/1000)/2</f>
        <v>1.3968499999999999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 t="str">
        <f>AB66</f>
        <v>CCP</v>
      </c>
      <c r="C64" s="283" t="s">
        <v>7</v>
      </c>
      <c r="D64" s="283" t="s">
        <v>176</v>
      </c>
      <c r="E64" s="100">
        <f>AB73</f>
        <v>2.8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254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255</v>
      </c>
      <c r="AC65" s="245" t="s">
        <v>138</v>
      </c>
      <c r="AD65" s="246" t="s">
        <v>37</v>
      </c>
      <c r="AE65" s="247" t="s">
        <v>38</v>
      </c>
      <c r="AF65" s="248" t="s">
        <v>259</v>
      </c>
      <c r="AG65" s="102" t="s">
        <v>185</v>
      </c>
      <c r="AH65" s="15" t="s">
        <v>34</v>
      </c>
      <c r="AI65" s="15" t="s">
        <v>186</v>
      </c>
      <c r="AJ65" s="507" t="s">
        <v>165</v>
      </c>
      <c r="AK65" s="31" t="s">
        <v>179</v>
      </c>
      <c r="AL65" s="32" t="s">
        <v>180</v>
      </c>
      <c r="AM65" s="33" t="s">
        <v>207</v>
      </c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 t="s">
        <v>178</v>
      </c>
      <c r="AC66" s="250"/>
      <c r="AD66" s="251" t="s">
        <v>40</v>
      </c>
      <c r="AE66" s="247">
        <v>37.000399999999999</v>
      </c>
      <c r="AF66" s="252" t="s">
        <v>187</v>
      </c>
      <c r="AG66" s="102"/>
      <c r="AH66" s="186" t="s">
        <v>188</v>
      </c>
      <c r="AI66" s="186"/>
      <c r="AJ66" s="133">
        <v>0</v>
      </c>
      <c r="AK66" s="133">
        <v>1</v>
      </c>
      <c r="AL66" s="133">
        <v>1.5</v>
      </c>
      <c r="AM66" s="133">
        <v>2</v>
      </c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>
        <v>439</v>
      </c>
      <c r="AC67" s="254"/>
      <c r="AD67" s="158" t="s">
        <v>42</v>
      </c>
      <c r="AE67" s="117"/>
      <c r="AF67" s="255" t="s">
        <v>6</v>
      </c>
      <c r="AG67" s="14"/>
      <c r="AH67" s="186" t="s">
        <v>189</v>
      </c>
      <c r="AI67" s="186"/>
      <c r="AJ67" s="188">
        <v>1.1284722222222222E-2</v>
      </c>
      <c r="AK67" s="188">
        <v>1.6249999999999997E-2</v>
      </c>
      <c r="AL67" s="188">
        <v>4.9212962962962958E-2</v>
      </c>
      <c r="AM67" s="188">
        <v>6.1307870370370367E-2</v>
      </c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>
        <v>6.4202000000000004</v>
      </c>
      <c r="AF68" s="255" t="s">
        <v>190</v>
      </c>
      <c r="AG68" s="14"/>
      <c r="AH68" s="186" t="s">
        <v>191</v>
      </c>
      <c r="AI68" s="188"/>
      <c r="AJ68" s="188">
        <v>1.3587962962962963E-2</v>
      </c>
      <c r="AK68" s="188">
        <v>1.7789351851851851E-2</v>
      </c>
      <c r="AL68" s="188">
        <v>4.9780092592592591E-2</v>
      </c>
      <c r="AM68" s="188">
        <v>6.3888888888888884E-2</v>
      </c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>
        <v>2.18E-2</v>
      </c>
      <c r="AF69" s="255" t="s">
        <v>190</v>
      </c>
      <c r="AG69" s="177"/>
      <c r="AH69" s="189" t="s">
        <v>192</v>
      </c>
      <c r="AI69" s="190"/>
      <c r="AJ69" s="189">
        <v>100</v>
      </c>
      <c r="AK69" s="189">
        <v>67</v>
      </c>
      <c r="AL69" s="189">
        <v>24</v>
      </c>
      <c r="AM69" s="189">
        <v>112</v>
      </c>
      <c r="AP69" s="74"/>
      <c r="AQ69" s="69">
        <f>BN71</f>
        <v>61.29148532808869</v>
      </c>
      <c r="AR69" s="70">
        <f>BO71</f>
        <v>0.41956905895407526</v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>
        <v>2</v>
      </c>
      <c r="AC70" s="254"/>
      <c r="AD70" s="158" t="s">
        <v>47</v>
      </c>
      <c r="AE70" s="117">
        <v>86.2</v>
      </c>
      <c r="AF70" s="255" t="s">
        <v>193</v>
      </c>
      <c r="AG70" s="103"/>
      <c r="AH70" s="104" t="s">
        <v>260</v>
      </c>
      <c r="AI70" s="16" t="s">
        <v>6</v>
      </c>
      <c r="AJ70" s="71">
        <v>118.69970000000001</v>
      </c>
      <c r="AK70" s="71">
        <v>111.059</v>
      </c>
      <c r="AL70" s="71">
        <v>97.191699999999997</v>
      </c>
      <c r="AM70" s="71">
        <v>34.563800000000001</v>
      </c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 t="str">
        <f>AJ65</f>
        <v>R</v>
      </c>
      <c r="AZ70" s="31" t="str">
        <f>AK65</f>
        <v>1Omy</v>
      </c>
      <c r="BA70" s="32" t="str">
        <f>AL65</f>
        <v>2U</v>
      </c>
      <c r="BB70" s="33" t="str">
        <f>AM65</f>
        <v>3Ama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>
        <v>2</v>
      </c>
      <c r="AC71" s="254"/>
      <c r="AD71" s="158" t="s">
        <v>49</v>
      </c>
      <c r="AE71" s="117">
        <v>0.89</v>
      </c>
      <c r="AF71" s="255"/>
      <c r="AG71" s="105" t="s">
        <v>194</v>
      </c>
      <c r="AH71" s="106" t="s">
        <v>261</v>
      </c>
      <c r="AI71" s="17" t="s">
        <v>4</v>
      </c>
      <c r="AJ71" s="8">
        <v>32.276699999999998</v>
      </c>
      <c r="AK71" s="8">
        <v>10.5745</v>
      </c>
      <c r="AL71" s="8">
        <v>86.391000000000005</v>
      </c>
      <c r="AM71" s="8">
        <v>7.3800000000000004E-2</v>
      </c>
      <c r="AP71" s="459">
        <f>E62</f>
        <v>2.02</v>
      </c>
      <c r="AQ71" s="510" t="s">
        <v>5</v>
      </c>
      <c r="AR71" s="510" t="s">
        <v>4</v>
      </c>
      <c r="AS71" s="21">
        <f>IF(ISNUMBER(AJ71),AJ71-($G63*AJ70+$G62),"")</f>
        <v>31.173565759999999</v>
      </c>
      <c r="AT71" s="21">
        <f>IF(ISNUMBER(AK71),AK71-($G63*AK70+$G62),"")</f>
        <v>9.6180672000000005</v>
      </c>
      <c r="AU71" s="21">
        <f>IF(ISNUMBER(AL71),AL71-($G63*AL70+$G62),"")</f>
        <v>85.700819360000011</v>
      </c>
      <c r="AV71" s="21">
        <f>IF(ISNUMBER(AM71),AM71-($G63*AM70+$G62),"")</f>
        <v>0.58607503999999999</v>
      </c>
      <c r="AW71" s="107" t="str">
        <f>$AH70</f>
        <v>4B: O2 concentration</v>
      </c>
      <c r="AX71" s="107" t="str">
        <f>$AI70</f>
        <v>µM</v>
      </c>
      <c r="AY71" s="73">
        <f>IF(ISNUMBER(AJ70),AJ70,"")</f>
        <v>118.69970000000001</v>
      </c>
      <c r="AZ71" s="73">
        <f>IF(ISNUMBER(AK70),AK70,"")</f>
        <v>111.059</v>
      </c>
      <c r="BA71" s="73">
        <f t="shared" ref="BA71:BB71" si="99">IF(ISNUMBER(AL70),AL70,"")</f>
        <v>97.191699999999997</v>
      </c>
      <c r="BB71" s="73">
        <f t="shared" si="99"/>
        <v>34.563800000000001</v>
      </c>
      <c r="BC71" s="166"/>
      <c r="BD71" s="176" t="str">
        <f>$AA64</f>
        <v>2005-04-09 GH-03.DLD</v>
      </c>
      <c r="BE71" s="193">
        <f>$D62</f>
        <v>0</v>
      </c>
      <c r="BF71" s="124">
        <f>$B63</f>
        <v>0</v>
      </c>
      <c r="BG71" s="194">
        <f>$E62</f>
        <v>2.02</v>
      </c>
      <c r="BH71" s="195"/>
      <c r="BI71" s="196">
        <f>IF(ISNUMBER($AB73),$AB73,"")</f>
        <v>2.8</v>
      </c>
      <c r="BJ71" s="511" t="str">
        <f>AH2</f>
        <v>O2 flow per cells</v>
      </c>
      <c r="BK71" s="511" t="str">
        <f>AI2</f>
        <v>pmol/(s*Mill)</v>
      </c>
      <c r="BL71" s="7">
        <f>IF(ISNUMBER(AS71),AS71/AJ63,"")</f>
        <v>22.266832685714288</v>
      </c>
      <c r="BM71" s="7">
        <f>IF(ISNUMBER(AT71),AT71/AK63,"")</f>
        <v>6.8734847423711862</v>
      </c>
      <c r="BN71" s="7">
        <f>IF(ISNUMBER(AU71),AU71/AL63,"")</f>
        <v>61.29148532808869</v>
      </c>
      <c r="BO71" s="7">
        <f>IF(ISNUMBER(AV71),AV71/AM63,"")</f>
        <v>0.41956905895407526</v>
      </c>
      <c r="BP71" s="194">
        <f>$E62</f>
        <v>2.02</v>
      </c>
      <c r="BQ71" s="6" t="s">
        <v>19</v>
      </c>
      <c r="BR71" s="6" t="s">
        <v>20</v>
      </c>
      <c r="BS71" s="5">
        <f>IF(ISNUMBER(BL71),BL71/$AQ69,"")</f>
        <v>0.3632940622424406</v>
      </c>
      <c r="BT71" s="5">
        <f>IF(ISNUMBER(BM71),BM71/$AQ69,"")</f>
        <v>0.11214420250346262</v>
      </c>
      <c r="BU71" s="5">
        <f>IF(ISNUMBER(BN71),BN71/$AQ69,"")</f>
        <v>1</v>
      </c>
      <c r="BV71" s="5">
        <f>IF(ISNUMBER(BO71),BO71/$AQ69,"")</f>
        <v>6.8454705691688459E-3</v>
      </c>
      <c r="BW71" s="194">
        <f>$E62</f>
        <v>2.02</v>
      </c>
      <c r="BX71" s="6" t="s">
        <v>18</v>
      </c>
      <c r="BY71" s="6" t="s">
        <v>21</v>
      </c>
      <c r="BZ71" s="5">
        <f>IF(ISNUMBER(BN71),1-BL71/BN71,"")</f>
        <v>0.63670593775755946</v>
      </c>
      <c r="CA71" s="5">
        <f>IF(ISNUMBER(BM71),1-BM71/BL71,"")</f>
        <v>0.69131286701673555</v>
      </c>
      <c r="CB71" s="5">
        <f>IF(ISNUMBER(BM71),1-BM71/BN71,"")</f>
        <v>0.88785579749653742</v>
      </c>
      <c r="CC71" s="5">
        <f>IF(ISNUMBER(BN71),1-BO71/BN71,"")</f>
        <v>0.99315452943083116</v>
      </c>
      <c r="CD71" s="194">
        <f>$E62</f>
        <v>2.02</v>
      </c>
      <c r="CE71" s="511" t="str">
        <f>AH3</f>
        <v>O2 flow per cells (mt: ROX-corr.)</v>
      </c>
      <c r="CF71" s="511" t="str">
        <f>AI2</f>
        <v>pmol/(s*Mill)</v>
      </c>
      <c r="CG71" s="7">
        <f>IF(ISNUMBER(BL71),BL71-$AR69,"")</f>
        <v>21.847263626760213</v>
      </c>
      <c r="CH71" s="7">
        <f t="shared" ref="CH71:CJ71" si="100">IF(ISNUMBER(BM71),BM71-$AR69,"")</f>
        <v>6.4539156834171107</v>
      </c>
      <c r="CI71" s="7">
        <f t="shared" si="100"/>
        <v>60.871916269134616</v>
      </c>
      <c r="CJ71" s="7">
        <f t="shared" si="100"/>
        <v>0</v>
      </c>
      <c r="CK71" s="194">
        <f>$E62</f>
        <v>2.02</v>
      </c>
      <c r="CL71" s="6" t="s">
        <v>3</v>
      </c>
      <c r="CM71" s="6" t="s">
        <v>1</v>
      </c>
      <c r="CN71" s="5">
        <f>IF(ISNUMBER(CG71),CG71/($AQ69-$AR69),"")</f>
        <v>0.35890546849496785</v>
      </c>
      <c r="CO71" s="5">
        <f t="shared" ref="CO71:CQ71" si="101">IF(ISNUMBER(CH71),CH71/($AQ69-$AR69),"")</f>
        <v>0.10602451966325888</v>
      </c>
      <c r="CP71" s="5">
        <f t="shared" si="101"/>
        <v>1</v>
      </c>
      <c r="CQ71" s="5">
        <f t="shared" si="101"/>
        <v>0</v>
      </c>
      <c r="CR71" s="194">
        <f>$E62</f>
        <v>2.02</v>
      </c>
      <c r="CS71" s="6" t="s">
        <v>2</v>
      </c>
      <c r="CT71" s="6" t="s">
        <v>1</v>
      </c>
      <c r="CU71" s="5">
        <f>IF(ISNUMBER(CI71),1-CG71/CI71,"")</f>
        <v>0.64109453150503215</v>
      </c>
      <c r="CV71" s="5">
        <f>IF(ISNUMBER(CH71),1-CH71/CG71,"")</f>
        <v>0.70458928890701644</v>
      </c>
      <c r="CW71" s="5">
        <f>IF(ISNUMBER(CH71),1-CH71/CI71,"")</f>
        <v>0.89397548033674112</v>
      </c>
      <c r="CX71" s="5">
        <f>IF(ISNUMBER(CI71),1-CJ71/CI71,"")</f>
        <v>1</v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>
        <v>1.4</v>
      </c>
      <c r="AC72" s="259" t="s">
        <v>195</v>
      </c>
      <c r="AD72" s="158" t="s">
        <v>196</v>
      </c>
      <c r="AE72" s="256" t="s">
        <v>240</v>
      </c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>
        <v>2.8</v>
      </c>
      <c r="AC73" s="261" t="s">
        <v>197</v>
      </c>
      <c r="AD73" s="262" t="s">
        <v>52</v>
      </c>
      <c r="AE73" s="263">
        <v>-1.1758999999999999</v>
      </c>
      <c r="AF73" s="255" t="s">
        <v>4</v>
      </c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1.9199999999999998E-2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9" priority="2" stopIfTrue="1">
      <formula>ISERROR(AQ3)</formula>
    </cfRule>
  </conditionalFormatting>
  <conditionalFormatting sqref="AS34:AV34">
    <cfRule type="containsErrors" dxfId="8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211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7" priority="2" stopIfTrue="1">
      <formula>ISERROR(AQ3)</formula>
    </cfRule>
  </conditionalFormatting>
  <conditionalFormatting sqref="AS34:AV34">
    <cfRule type="containsErrors" dxfId="6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212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5" priority="2" stopIfTrue="1">
      <formula>ISERROR(AQ3)</formula>
    </cfRule>
  </conditionalFormatting>
  <conditionalFormatting sqref="AS34:AV34">
    <cfRule type="containsErrors" dxfId="4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213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3" priority="2" stopIfTrue="1">
      <formula>ISERROR(AQ3)</formula>
    </cfRule>
  </conditionalFormatting>
  <conditionalFormatting sqref="AS34:AV34">
    <cfRule type="containsErrors" dxfId="2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214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1" priority="2" stopIfTrue="1">
      <formula>ISERROR(AQ3)</formula>
    </cfRule>
  </conditionalFormatting>
  <conditionalFormatting sqref="AS34:AV34">
    <cfRule type="containsErrors" dxfId="0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4"/>
  <dimension ref="A1:W16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baseColWidth="10" defaultRowHeight="14.4"/>
  <cols>
    <col min="1" max="2" width="24.6640625" customWidth="1"/>
    <col min="3" max="3" width="4.33203125" customWidth="1"/>
  </cols>
  <sheetData>
    <row r="1" spans="1:23" ht="15.6">
      <c r="A1" s="329" t="s">
        <v>149</v>
      </c>
      <c r="B1" s="431" t="s">
        <v>148</v>
      </c>
      <c r="D1" s="432" t="s">
        <v>15</v>
      </c>
      <c r="E1" s="426" t="s">
        <v>56</v>
      </c>
      <c r="F1" s="426" t="s">
        <v>153</v>
      </c>
      <c r="G1" s="426" t="s">
        <v>154</v>
      </c>
      <c r="H1" s="426" t="s">
        <v>155</v>
      </c>
      <c r="I1" s="426" t="s">
        <v>156</v>
      </c>
      <c r="J1" s="426" t="s">
        <v>157</v>
      </c>
      <c r="K1" s="426" t="s">
        <v>158</v>
      </c>
      <c r="L1" s="426" t="s">
        <v>159</v>
      </c>
      <c r="M1" s="427"/>
      <c r="N1" s="427"/>
    </row>
    <row r="2" spans="1:23" ht="15" thickBot="1">
      <c r="A2" s="463" t="s">
        <v>67</v>
      </c>
      <c r="B2" s="431"/>
      <c r="E2" s="428" t="s">
        <v>160</v>
      </c>
      <c r="F2" s="428" t="s">
        <v>160</v>
      </c>
      <c r="G2" s="428"/>
      <c r="H2" s="428" t="s">
        <v>161</v>
      </c>
      <c r="I2" s="428"/>
      <c r="J2" s="428"/>
      <c r="K2" s="428"/>
      <c r="L2" s="428"/>
      <c r="M2" s="501"/>
      <c r="N2" s="501"/>
    </row>
    <row r="3" spans="1:23">
      <c r="E3" s="495"/>
      <c r="F3" s="495"/>
      <c r="G3" s="495"/>
      <c r="H3" s="495"/>
      <c r="I3" s="495"/>
      <c r="J3" s="495"/>
      <c r="K3" s="495"/>
      <c r="L3" s="495"/>
      <c r="M3" s="496"/>
      <c r="N3" s="496"/>
    </row>
    <row r="4" spans="1:23">
      <c r="E4" s="495"/>
      <c r="F4" s="495"/>
      <c r="G4" s="495"/>
      <c r="H4" s="495"/>
      <c r="I4" s="495"/>
      <c r="J4" s="495"/>
      <c r="K4" s="495"/>
      <c r="L4" s="495"/>
      <c r="M4" s="496"/>
      <c r="N4" s="496"/>
    </row>
    <row r="5" spans="1:23">
      <c r="E5" s="495"/>
      <c r="F5" s="495"/>
      <c r="G5" s="495"/>
      <c r="H5" s="495"/>
      <c r="I5" s="495"/>
      <c r="J5" s="495"/>
      <c r="K5" s="495"/>
      <c r="L5" s="495"/>
      <c r="M5" s="496"/>
      <c r="N5" s="496"/>
    </row>
    <row r="6" spans="1:23">
      <c r="E6" s="495"/>
      <c r="F6" s="495"/>
      <c r="G6" s="495"/>
      <c r="H6" s="495"/>
      <c r="I6" s="495"/>
      <c r="J6" s="495"/>
      <c r="K6" s="495"/>
      <c r="L6" s="495"/>
      <c r="M6" s="497"/>
      <c r="N6" s="497"/>
    </row>
    <row r="7" spans="1:23">
      <c r="E7" s="495"/>
      <c r="F7" s="495"/>
      <c r="G7" s="495"/>
      <c r="H7" s="495"/>
      <c r="I7" s="495"/>
      <c r="J7" s="495"/>
      <c r="K7" s="495"/>
      <c r="L7" s="495"/>
      <c r="M7" s="497"/>
      <c r="N7" s="497"/>
    </row>
    <row r="8" spans="1:23">
      <c r="E8" s="498"/>
      <c r="F8" s="498"/>
      <c r="G8" s="498"/>
      <c r="H8" s="498"/>
      <c r="I8" s="498"/>
      <c r="J8" s="498"/>
      <c r="K8" s="498"/>
      <c r="L8" s="498"/>
      <c r="M8" s="499"/>
      <c r="N8" s="500"/>
    </row>
    <row r="11" spans="1:23" ht="15.6">
      <c r="A11" s="329" t="s">
        <v>150</v>
      </c>
      <c r="B11" s="431" t="s">
        <v>78</v>
      </c>
      <c r="D11" s="422" t="s">
        <v>151</v>
      </c>
      <c r="E11" s="423">
        <v>-2</v>
      </c>
    </row>
    <row r="12" spans="1:23">
      <c r="A12" s="421"/>
      <c r="D12" s="424" t="s">
        <v>152</v>
      </c>
      <c r="E12" s="425">
        <v>2.5000000000000001E-2</v>
      </c>
    </row>
    <row r="13" spans="1:23">
      <c r="A13" s="430"/>
      <c r="B13" s="416" t="s">
        <v>16</v>
      </c>
      <c r="C13" s="247"/>
      <c r="D13" s="417" t="s">
        <v>29</v>
      </c>
      <c r="E13" s="418" t="s">
        <v>130</v>
      </c>
      <c r="F13" s="417" t="s">
        <v>126</v>
      </c>
      <c r="G13" s="418" t="s">
        <v>127</v>
      </c>
      <c r="H13" s="417" t="s">
        <v>128</v>
      </c>
      <c r="I13" s="418" t="s">
        <v>129</v>
      </c>
      <c r="J13" s="417" t="s">
        <v>137</v>
      </c>
      <c r="K13" s="418" t="s">
        <v>138</v>
      </c>
      <c r="L13" s="419" t="s">
        <v>139</v>
      </c>
      <c r="M13" s="420" t="s">
        <v>30</v>
      </c>
      <c r="N13" s="417" t="s">
        <v>131</v>
      </c>
      <c r="O13" s="418" t="s">
        <v>132</v>
      </c>
      <c r="P13" s="417" t="s">
        <v>140</v>
      </c>
      <c r="Q13" s="418" t="s">
        <v>141</v>
      </c>
      <c r="R13" s="417" t="s">
        <v>142</v>
      </c>
      <c r="S13" s="418" t="s">
        <v>143</v>
      </c>
      <c r="T13" s="417" t="s">
        <v>144</v>
      </c>
      <c r="U13" s="418" t="s">
        <v>145</v>
      </c>
      <c r="V13" s="417" t="s">
        <v>146</v>
      </c>
      <c r="W13" s="418" t="s">
        <v>147</v>
      </c>
    </row>
    <row r="14" spans="1:23">
      <c r="A14" s="477"/>
      <c r="B14" s="117" t="s">
        <v>133</v>
      </c>
      <c r="C14" s="159" t="s">
        <v>134</v>
      </c>
      <c r="D14" s="479"/>
      <c r="E14" s="480"/>
      <c r="F14" s="479"/>
      <c r="G14" s="480"/>
      <c r="H14" s="479"/>
      <c r="I14" s="480"/>
      <c r="J14" s="479"/>
      <c r="K14" s="480"/>
      <c r="L14" s="481"/>
      <c r="M14" s="482"/>
      <c r="N14" s="479"/>
      <c r="O14" s="480"/>
      <c r="P14" s="483"/>
      <c r="Q14" s="484"/>
      <c r="R14" s="483"/>
      <c r="S14" s="484"/>
      <c r="T14" s="485"/>
      <c r="U14" s="486"/>
      <c r="V14" s="485"/>
      <c r="W14" s="486"/>
    </row>
    <row r="15" spans="1:23">
      <c r="A15" s="478"/>
      <c r="B15" s="177" t="s">
        <v>135</v>
      </c>
      <c r="C15" s="160" t="s">
        <v>136</v>
      </c>
      <c r="D15" s="487"/>
      <c r="E15" s="488"/>
      <c r="F15" s="487"/>
      <c r="G15" s="488"/>
      <c r="H15" s="487"/>
      <c r="I15" s="488"/>
      <c r="J15" s="487"/>
      <c r="K15" s="488"/>
      <c r="L15" s="489"/>
      <c r="M15" s="490"/>
      <c r="N15" s="487"/>
      <c r="O15" s="488"/>
      <c r="P15" s="491"/>
      <c r="Q15" s="492"/>
      <c r="R15" s="491"/>
      <c r="S15" s="492"/>
      <c r="T15" s="493"/>
      <c r="U15" s="494"/>
      <c r="V15" s="493"/>
      <c r="W15" s="494"/>
    </row>
    <row r="16" spans="1:23">
      <c r="A16" s="20"/>
    </row>
  </sheetData>
  <hyperlinks>
    <hyperlink ref="D1" r:id="rId1"/>
    <hyperlink ref="A2" location="Navigation!B3" display="↗ Navigation"/>
    <hyperlink ref="B1" r:id="rId2" display="O2 background ↗2"/>
    <hyperlink ref="A1" location="O2k!B3" display="• Navigation"/>
    <hyperlink ref="B11" r:id="rId3" display="O2 background"/>
    <hyperlink ref="A11" location="O2k!B3" display="• Navigation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6"/>
  <sheetViews>
    <sheetView workbookViewId="0">
      <selection activeCell="A22" sqref="A22"/>
    </sheetView>
  </sheetViews>
  <sheetFormatPr baseColWidth="10" defaultRowHeight="14.4"/>
  <cols>
    <col min="1" max="1" width="15.109375" bestFit="1" customWidth="1"/>
  </cols>
  <sheetData>
    <row r="1" spans="1:17" ht="16.2" thickBot="1">
      <c r="A1" s="325" t="s">
        <v>264</v>
      </c>
    </row>
    <row r="2" spans="1:17">
      <c r="B2" s="452" t="s">
        <v>266</v>
      </c>
      <c r="C2" s="169" t="s">
        <v>32</v>
      </c>
      <c r="D2" s="170" t="s">
        <v>7</v>
      </c>
      <c r="E2" s="47" t="s">
        <v>169</v>
      </c>
      <c r="F2" s="47" t="s">
        <v>172</v>
      </c>
      <c r="G2" s="506" t="s">
        <v>165</v>
      </c>
      <c r="H2" s="31" t="s">
        <v>179</v>
      </c>
      <c r="I2" s="32" t="s">
        <v>180</v>
      </c>
      <c r="J2" s="33" t="s">
        <v>181</v>
      </c>
      <c r="K2" s="452"/>
      <c r="L2" s="35" t="s">
        <v>19</v>
      </c>
      <c r="M2" s="34" t="s">
        <v>20</v>
      </c>
      <c r="N2" s="506" t="s">
        <v>165</v>
      </c>
      <c r="O2" s="31" t="s">
        <v>179</v>
      </c>
      <c r="P2" s="32" t="s">
        <v>180</v>
      </c>
      <c r="Q2" s="33" t="s">
        <v>181</v>
      </c>
    </row>
    <row r="3" spans="1:17">
      <c r="B3" s="296" t="s">
        <v>34</v>
      </c>
      <c r="C3" s="385">
        <v>3</v>
      </c>
      <c r="D3" s="346">
        <v>2</v>
      </c>
      <c r="E3" s="37" t="s">
        <v>169</v>
      </c>
      <c r="F3" s="174" t="s">
        <v>34</v>
      </c>
      <c r="G3" s="26">
        <v>25.510132109090907</v>
      </c>
      <c r="H3" s="26">
        <v>8.0499643458092685</v>
      </c>
      <c r="I3" s="26">
        <v>62.223429978626235</v>
      </c>
      <c r="J3" s="26">
        <v>1.9267895791583167</v>
      </c>
      <c r="K3" s="452"/>
      <c r="L3" s="286" t="s">
        <v>19</v>
      </c>
      <c r="M3" s="174" t="s">
        <v>34</v>
      </c>
      <c r="N3" s="312">
        <v>0.41187007573553508</v>
      </c>
      <c r="O3" s="312">
        <v>0.12999967190259845</v>
      </c>
      <c r="P3" s="312">
        <v>1</v>
      </c>
      <c r="Q3" s="312">
        <v>2.9042304657102686E-2</v>
      </c>
    </row>
    <row r="4" spans="1:17">
      <c r="B4" s="296" t="s">
        <v>82</v>
      </c>
      <c r="C4" s="389"/>
      <c r="D4" s="390">
        <v>0.20000000000000018</v>
      </c>
      <c r="E4" s="379"/>
      <c r="F4" s="379"/>
      <c r="G4" s="387">
        <v>2.4162836400000032</v>
      </c>
      <c r="H4" s="387">
        <v>1.8864438219109552</v>
      </c>
      <c r="I4" s="387">
        <v>4.2485223765835087</v>
      </c>
      <c r="J4" s="387">
        <v>1.3090740505851195</v>
      </c>
      <c r="K4" s="391"/>
      <c r="L4" s="379"/>
      <c r="M4" s="379"/>
      <c r="N4" s="392">
        <v>1.0290704423483565E-2</v>
      </c>
      <c r="O4" s="392">
        <v>2.0649022094320929E-2</v>
      </c>
      <c r="P4" s="392">
        <v>0</v>
      </c>
      <c r="Q4" s="392">
        <v>2.1335551550275209E-2</v>
      </c>
    </row>
    <row r="5" spans="1:17">
      <c r="B5" s="296" t="s">
        <v>83</v>
      </c>
      <c r="C5" s="389"/>
      <c r="D5" s="392">
        <v>-3.2786885245901745E-2</v>
      </c>
      <c r="E5" s="379"/>
      <c r="F5" s="379"/>
      <c r="G5" s="392">
        <v>-2.7075358538945049E-2</v>
      </c>
      <c r="H5" s="392">
        <v>-3.8118905150245061E-2</v>
      </c>
      <c r="I5" s="392">
        <v>-2.1164790834375228E-2</v>
      </c>
      <c r="J5" s="392">
        <v>-5.7280835106203139E-2</v>
      </c>
      <c r="K5" s="391"/>
      <c r="L5" s="379"/>
      <c r="M5" s="379"/>
      <c r="N5" s="392">
        <v>-2.4846028306493885E-3</v>
      </c>
      <c r="O5" s="392">
        <v>-1.1734949887369592E-2</v>
      </c>
      <c r="P5" s="392">
        <v>0</v>
      </c>
      <c r="Q5" s="392">
        <v>-9.9642969787703428E-2</v>
      </c>
    </row>
    <row r="6" spans="1:17">
      <c r="B6" s="300" t="s">
        <v>32</v>
      </c>
      <c r="C6" s="300"/>
      <c r="D6" s="394">
        <v>3</v>
      </c>
      <c r="E6" s="402"/>
      <c r="F6" s="290" t="s">
        <v>32</v>
      </c>
      <c r="G6" s="394">
        <v>3</v>
      </c>
      <c r="H6" s="394">
        <v>3</v>
      </c>
      <c r="I6" s="394">
        <v>3</v>
      </c>
      <c r="J6" s="394">
        <v>3</v>
      </c>
      <c r="K6" s="160"/>
      <c r="L6" s="402"/>
      <c r="M6" s="290" t="s">
        <v>32</v>
      </c>
      <c r="N6" s="394">
        <v>3</v>
      </c>
      <c r="O6" s="394">
        <v>3</v>
      </c>
      <c r="P6" s="394">
        <v>3</v>
      </c>
      <c r="Q6" s="394">
        <v>3</v>
      </c>
    </row>
    <row r="7" spans="1:17">
      <c r="B7" s="360" t="s">
        <v>24</v>
      </c>
      <c r="C7" s="371">
        <v>3</v>
      </c>
      <c r="D7" s="372">
        <v>2.0666666666666669</v>
      </c>
      <c r="E7" s="362"/>
      <c r="F7" s="365" t="s">
        <v>24</v>
      </c>
      <c r="G7" s="366">
        <v>26.210306823030304</v>
      </c>
      <c r="H7" s="366">
        <v>8.3627823123683047</v>
      </c>
      <c r="I7" s="366">
        <v>63.554461359506412</v>
      </c>
      <c r="J7" s="366">
        <v>2.0404118856270457</v>
      </c>
      <c r="K7" s="373"/>
      <c r="L7" s="369"/>
      <c r="M7" s="365" t="s">
        <v>24</v>
      </c>
      <c r="N7" s="361">
        <v>0.4128946821615806</v>
      </c>
      <c r="O7" s="361">
        <v>0.1315342154334673</v>
      </c>
      <c r="P7" s="361">
        <v>1</v>
      </c>
      <c r="Q7" s="361">
        <v>3.2087902341649023E-2</v>
      </c>
    </row>
    <row r="8" spans="1:17">
      <c r="B8" s="360" t="s">
        <v>22</v>
      </c>
      <c r="C8" s="371">
        <v>3</v>
      </c>
      <c r="D8" s="372">
        <v>0.11547005383792264</v>
      </c>
      <c r="E8" s="369"/>
      <c r="F8" s="365" t="s">
        <v>22</v>
      </c>
      <c r="G8" s="366">
        <v>1.3517729579197144</v>
      </c>
      <c r="H8" s="366">
        <v>0.98135563556648686</v>
      </c>
      <c r="I8" s="366">
        <v>2.416861394194449</v>
      </c>
      <c r="J8" s="366">
        <v>0.66189216559367736</v>
      </c>
      <c r="K8" s="373"/>
      <c r="L8" s="369"/>
      <c r="M8" s="365" t="s">
        <v>22</v>
      </c>
      <c r="N8" s="361">
        <v>5.2213037767492882E-3</v>
      </c>
      <c r="O8" s="361">
        <v>1.0409690016952333E-2</v>
      </c>
      <c r="P8" s="361">
        <v>0</v>
      </c>
      <c r="Q8" s="361">
        <v>1.0989003090849426E-2</v>
      </c>
    </row>
    <row r="9" spans="1:17" ht="15" thickBot="1"/>
    <row r="10" spans="1:17" ht="15.6">
      <c r="A10" s="325" t="s">
        <v>265</v>
      </c>
      <c r="B10" s="452" t="s">
        <v>267</v>
      </c>
      <c r="C10" s="169" t="s">
        <v>32</v>
      </c>
      <c r="D10" s="170" t="s">
        <v>7</v>
      </c>
      <c r="E10" s="47" t="s">
        <v>169</v>
      </c>
      <c r="F10" s="47" t="s">
        <v>172</v>
      </c>
      <c r="G10" s="506" t="s">
        <v>165</v>
      </c>
      <c r="H10" s="31" t="s">
        <v>179</v>
      </c>
      <c r="I10" s="32" t="s">
        <v>180</v>
      </c>
      <c r="J10" s="33" t="s">
        <v>181</v>
      </c>
      <c r="K10" s="452"/>
      <c r="L10" s="35" t="s">
        <v>19</v>
      </c>
      <c r="M10" s="34" t="s">
        <v>20</v>
      </c>
      <c r="N10" s="506" t="s">
        <v>165</v>
      </c>
      <c r="O10" s="31" t="s">
        <v>179</v>
      </c>
      <c r="P10" s="32" t="s">
        <v>180</v>
      </c>
      <c r="Q10" s="33" t="s">
        <v>181</v>
      </c>
    </row>
    <row r="11" spans="1:17">
      <c r="B11" s="296" t="s">
        <v>34</v>
      </c>
      <c r="C11" s="385">
        <v>2</v>
      </c>
      <c r="D11" s="346">
        <v>2.4</v>
      </c>
      <c r="E11" s="37" t="s">
        <v>169</v>
      </c>
      <c r="F11" s="174" t="s">
        <v>34</v>
      </c>
      <c r="G11" s="26">
        <v>28.219432691428572</v>
      </c>
      <c r="H11" s="26">
        <v>8.2858217651682988</v>
      </c>
      <c r="I11" s="26">
        <v>77.125044383287758</v>
      </c>
      <c r="J11" s="26">
        <v>1.4372609318529412</v>
      </c>
      <c r="K11" s="452"/>
      <c r="L11" s="286" t="s">
        <v>19</v>
      </c>
      <c r="M11" s="174" t="s">
        <v>34</v>
      </c>
      <c r="N11" s="312">
        <v>0.36903967135925042</v>
      </c>
      <c r="O11" s="312">
        <v>0.11209712103269077</v>
      </c>
      <c r="P11" s="312">
        <v>1</v>
      </c>
      <c r="Q11" s="312">
        <v>1.868046969315687E-2</v>
      </c>
    </row>
    <row r="12" spans="1:17">
      <c r="B12" s="296" t="s">
        <v>82</v>
      </c>
      <c r="C12" s="389"/>
      <c r="D12" s="390">
        <v>0.79999999999999982</v>
      </c>
      <c r="E12" s="379"/>
      <c r="F12" s="379"/>
      <c r="G12" s="387">
        <v>12.150572697142859</v>
      </c>
      <c r="H12" s="387">
        <v>1.533863783320232</v>
      </c>
      <c r="I12" s="387">
        <v>37.610547588868798</v>
      </c>
      <c r="J12" s="387">
        <v>0.84297835177895819</v>
      </c>
      <c r="K12" s="391"/>
      <c r="L12" s="379"/>
      <c r="M12" s="379"/>
      <c r="N12" s="392">
        <v>2.3087050574425561E-2</v>
      </c>
      <c r="O12" s="392">
        <v>3.5458213064474303E-2</v>
      </c>
      <c r="P12" s="392">
        <v>0</v>
      </c>
      <c r="Q12" s="392">
        <v>1.3911494850870239E-3</v>
      </c>
    </row>
    <row r="13" spans="1:17">
      <c r="B13" s="296" t="s">
        <v>83</v>
      </c>
      <c r="C13" s="389"/>
      <c r="D13" s="392">
        <v>0</v>
      </c>
      <c r="E13" s="379"/>
      <c r="F13" s="379"/>
      <c r="G13" s="392">
        <v>0</v>
      </c>
      <c r="H13" s="392">
        <v>0</v>
      </c>
      <c r="I13" s="392">
        <v>0</v>
      </c>
      <c r="J13" s="392">
        <v>0</v>
      </c>
      <c r="K13" s="391"/>
      <c r="L13" s="379"/>
      <c r="M13" s="379"/>
      <c r="N13" s="392">
        <v>0</v>
      </c>
      <c r="O13" s="392">
        <v>0</v>
      </c>
      <c r="P13" s="392">
        <v>0</v>
      </c>
      <c r="Q13" s="392">
        <v>0</v>
      </c>
    </row>
    <row r="14" spans="1:17">
      <c r="B14" s="300" t="s">
        <v>32</v>
      </c>
      <c r="C14" s="300"/>
      <c r="D14" s="394">
        <v>2</v>
      </c>
      <c r="E14" s="402"/>
      <c r="F14" s="290" t="s">
        <v>32</v>
      </c>
      <c r="G14" s="394">
        <v>2</v>
      </c>
      <c r="H14" s="394">
        <v>2</v>
      </c>
      <c r="I14" s="394">
        <v>2</v>
      </c>
      <c r="J14" s="394">
        <v>2</v>
      </c>
      <c r="K14" s="160"/>
      <c r="L14" s="402"/>
      <c r="M14" s="290" t="s">
        <v>32</v>
      </c>
      <c r="N14" s="394">
        <v>2</v>
      </c>
      <c r="O14" s="394">
        <v>2</v>
      </c>
      <c r="P14" s="394">
        <v>2</v>
      </c>
      <c r="Q14" s="394">
        <v>2</v>
      </c>
    </row>
    <row r="15" spans="1:17">
      <c r="B15" s="360" t="s">
        <v>24</v>
      </c>
      <c r="C15" s="371">
        <v>2</v>
      </c>
      <c r="D15" s="372">
        <v>2.4</v>
      </c>
      <c r="E15" s="362"/>
      <c r="F15" s="365" t="s">
        <v>24</v>
      </c>
      <c r="G15" s="366">
        <v>28.219432691428572</v>
      </c>
      <c r="H15" s="366">
        <v>8.2858217651682988</v>
      </c>
      <c r="I15" s="366">
        <v>77.125044383287758</v>
      </c>
      <c r="J15" s="366">
        <v>1.4372609318529412</v>
      </c>
      <c r="K15" s="373"/>
      <c r="L15" s="369"/>
      <c r="M15" s="365" t="s">
        <v>24</v>
      </c>
      <c r="N15" s="361">
        <v>0.36903967135925042</v>
      </c>
      <c r="O15" s="361">
        <v>0.11209712103269077</v>
      </c>
      <c r="P15" s="361">
        <v>1</v>
      </c>
      <c r="Q15" s="361">
        <v>1.868046969315687E-2</v>
      </c>
    </row>
    <row r="16" spans="1:17">
      <c r="B16" s="360" t="s">
        <v>22</v>
      </c>
      <c r="C16" s="371">
        <v>2</v>
      </c>
      <c r="D16" s="372">
        <v>0.56568542494923824</v>
      </c>
      <c r="E16" s="369"/>
      <c r="F16" s="365" t="s">
        <v>22</v>
      </c>
      <c r="G16" s="366">
        <v>8.5917523494498518</v>
      </c>
      <c r="H16" s="366">
        <v>1.0846054826021858</v>
      </c>
      <c r="I16" s="366">
        <v>26.594673244228506</v>
      </c>
      <c r="J16" s="366">
        <v>0.59607570893636086</v>
      </c>
      <c r="K16" s="373"/>
      <c r="L16" s="369"/>
      <c r="M16" s="365" t="s">
        <v>22</v>
      </c>
      <c r="N16" s="361">
        <v>1.6325010018773092E-2</v>
      </c>
      <c r="O16" s="361">
        <v>2.5072742906647238E-2</v>
      </c>
      <c r="P16" s="361">
        <v>0</v>
      </c>
      <c r="Q16" s="361">
        <v>9.8369123454920848E-4</v>
      </c>
    </row>
  </sheetData>
  <conditionalFormatting sqref="N3:Q3 D3 G3:J3 N11:Q11 D11 G11:J11">
    <cfRule type="containsErrors" dxfId="48" priority="4" stopIfTrue="1">
      <formula>ISERROR(D3)</formula>
    </cfRule>
  </conditionalFormatting>
  <hyperlinks>
    <hyperlink ref="A1" location="'Cohort-32D'!A1" display="• Cohort 32D"/>
    <hyperlink ref="A10" location="'Cohort-439'!A1" display="• Cohort 439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2"/>
  <dimension ref="A1:DL40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I5" sqref="BI5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6" width="12.664062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33.6640625" style="130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5" width="8.5546875" style="129" bestFit="1" customWidth="1"/>
    <col min="46" max="48" width="6.6640625" style="129" customWidth="1"/>
    <col min="49" max="49" width="20.109375" style="130" customWidth="1"/>
    <col min="50" max="50" width="7.88671875" style="130" customWidth="1"/>
    <col min="51" max="51" width="8.5546875" style="116" bestFit="1" customWidth="1"/>
    <col min="52" max="54" width="6.6640625" style="116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6640625" style="129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6640625" style="116" customWidth="1"/>
    <col min="75" max="75" width="7.6640625" style="116" customWidth="1"/>
    <col min="76" max="76" width="20.6640625" style="130" customWidth="1"/>
    <col min="77" max="77" width="13.6640625" style="130" customWidth="1"/>
    <col min="78" max="81" width="9.6640625" style="116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6640625" style="129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6640625" style="116" customWidth="1"/>
    <col min="96" max="96" width="7.6640625" style="116" customWidth="1"/>
    <col min="97" max="97" width="20.6640625" style="130" customWidth="1"/>
    <col min="98" max="98" width="13.6640625" style="130" customWidth="1"/>
    <col min="99" max="102" width="9.6640625" style="116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118</v>
      </c>
      <c r="B1" s="504"/>
      <c r="C1" s="342" t="s">
        <v>92</v>
      </c>
      <c r="D1" s="343">
        <f>E37</f>
        <v>3</v>
      </c>
      <c r="E1" s="319"/>
      <c r="F1" s="328" t="s">
        <v>178</v>
      </c>
      <c r="G1" s="326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0</v>
      </c>
      <c r="AA1" s="109">
        <f>$G$3</f>
        <v>0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181</v>
      </c>
      <c r="AN1" s="111" t="s">
        <v>25</v>
      </c>
      <c r="AO1" s="112" t="s">
        <v>26</v>
      </c>
      <c r="AP1" s="452">
        <f>$E$1</f>
        <v>0</v>
      </c>
      <c r="AQ1" s="113" t="s">
        <v>14</v>
      </c>
      <c r="AR1" s="113" t="s">
        <v>13</v>
      </c>
      <c r="AS1" s="506" t="str">
        <f>AJ1</f>
        <v>R</v>
      </c>
      <c r="AT1" s="31" t="str">
        <f>AK1</f>
        <v>1Omy</v>
      </c>
      <c r="AU1" s="32" t="str">
        <f>AL1</f>
        <v>2U</v>
      </c>
      <c r="AV1" s="33" t="str">
        <f t="shared" ref="AV1" si="0">AM1</f>
        <v>3Rot</v>
      </c>
      <c r="AW1" s="114" t="str">
        <f>AQ1</f>
        <v>Quantity</v>
      </c>
      <c r="AX1" s="114" t="str">
        <f>AR1</f>
        <v>Units</v>
      </c>
      <c r="AY1" s="506" t="str">
        <f>AJ1</f>
        <v>R</v>
      </c>
      <c r="AZ1" s="31" t="str">
        <f>AK1</f>
        <v>1Omy</v>
      </c>
      <c r="BA1" s="32" t="str">
        <f>AL1</f>
        <v>2U</v>
      </c>
      <c r="BB1" s="33" t="str">
        <f t="shared" ref="BB1" si="1">AM1</f>
        <v>3Rot</v>
      </c>
      <c r="BC1" s="115"/>
      <c r="BD1" s="34" t="s">
        <v>27</v>
      </c>
      <c r="BE1" s="34"/>
      <c r="BF1" s="35" t="s">
        <v>116</v>
      </c>
      <c r="BG1" s="452">
        <f>$E$1</f>
        <v>0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6" t="str">
        <f>AJ1</f>
        <v>R</v>
      </c>
      <c r="BM1" s="31" t="str">
        <f>AK1</f>
        <v>1Omy</v>
      </c>
      <c r="BN1" s="32" t="str">
        <f>AL1</f>
        <v>2U</v>
      </c>
      <c r="BO1" s="33" t="str">
        <f t="shared" ref="BO1" si="2">AM1</f>
        <v>3Rot</v>
      </c>
      <c r="BP1" s="452">
        <f>$E$1</f>
        <v>0</v>
      </c>
      <c r="BQ1" s="114" t="str">
        <f>AQ1</f>
        <v>Quantity</v>
      </c>
      <c r="BR1" s="114" t="str">
        <f>AR1</f>
        <v>Units</v>
      </c>
      <c r="BS1" s="506" t="str">
        <f>AJ1</f>
        <v>R</v>
      </c>
      <c r="BT1" s="31" t="str">
        <f>AK1</f>
        <v>1Omy</v>
      </c>
      <c r="BU1" s="32" t="str">
        <f>AL1</f>
        <v>2U</v>
      </c>
      <c r="BV1" s="33" t="str">
        <f t="shared" ref="BV1" si="3">AM1</f>
        <v>3Rot</v>
      </c>
      <c r="BW1" s="452">
        <f>$E$1</f>
        <v>0</v>
      </c>
      <c r="BX1" s="114" t="str">
        <f>AQ1</f>
        <v>Quantity</v>
      </c>
      <c r="BY1" s="114" t="str">
        <f>AR1</f>
        <v>Units</v>
      </c>
      <c r="BZ1" s="506" t="s">
        <v>204</v>
      </c>
      <c r="CA1" s="31" t="s">
        <v>205</v>
      </c>
      <c r="CB1" s="32" t="s">
        <v>203</v>
      </c>
      <c r="CC1" s="33" t="s">
        <v>206</v>
      </c>
      <c r="CD1" s="452">
        <f>$E$1</f>
        <v>0</v>
      </c>
      <c r="CE1" s="114" t="str">
        <f>AQ1</f>
        <v>Quantity</v>
      </c>
      <c r="CF1" s="114" t="str">
        <f>AR1</f>
        <v>Units</v>
      </c>
      <c r="CG1" s="506" t="str">
        <f>AJ1</f>
        <v>R</v>
      </c>
      <c r="CH1" s="31" t="str">
        <f>AK1</f>
        <v>1Omy</v>
      </c>
      <c r="CI1" s="32" t="str">
        <f>AL1</f>
        <v>2U</v>
      </c>
      <c r="CJ1" s="33" t="str">
        <f t="shared" ref="CJ1" si="4">AM1</f>
        <v>3Rot</v>
      </c>
      <c r="CK1" s="452">
        <f>$E$1</f>
        <v>0</v>
      </c>
      <c r="CL1" s="114" t="str">
        <f>AQ1</f>
        <v>Quantity</v>
      </c>
      <c r="CM1" s="114" t="str">
        <f>AR1</f>
        <v>Units</v>
      </c>
      <c r="CN1" s="506" t="str">
        <f>AJ1</f>
        <v>R</v>
      </c>
      <c r="CO1" s="31" t="str">
        <f>AK1</f>
        <v>1Omy</v>
      </c>
      <c r="CP1" s="32" t="str">
        <f>AL1</f>
        <v>2U</v>
      </c>
      <c r="CQ1" s="33" t="str">
        <f t="shared" ref="CQ1" si="5">AM1</f>
        <v>3Rot</v>
      </c>
      <c r="CR1" s="452">
        <f>$E$1</f>
        <v>0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0</v>
      </c>
    </row>
    <row r="2" spans="1:116" ht="14.4">
      <c r="A2" s="463" t="s">
        <v>67</v>
      </c>
      <c r="B2" s="344" t="s">
        <v>119</v>
      </c>
      <c r="C2" s="344" t="s">
        <v>93</v>
      </c>
      <c r="D2" s="340"/>
      <c r="E2" s="345" t="s">
        <v>46</v>
      </c>
      <c r="F2" s="434" t="s">
        <v>79</v>
      </c>
      <c r="G2" s="434" t="s">
        <v>15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118"/>
      <c r="AB2" s="118"/>
      <c r="AC2" s="118"/>
      <c r="AD2" s="118"/>
      <c r="AE2" s="118"/>
      <c r="AF2" s="333" t="s">
        <v>167</v>
      </c>
      <c r="AG2" s="333"/>
      <c r="AH2" s="333" t="str">
        <f>'#1-32D'!AH2</f>
        <v>O2 flow per cells</v>
      </c>
      <c r="AI2" s="333" t="str">
        <f>'#1-32D'!AI2</f>
        <v>pmol/(s*Mill)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>
      <c r="A3" s="435"/>
      <c r="B3" s="337" t="str">
        <f t="shared" ref="B3:B20" si="6">IF(ISTEXT(BF3),BF3,"")</f>
        <v/>
      </c>
      <c r="C3" s="323" t="s">
        <v>90</v>
      </c>
      <c r="D3" s="462">
        <f t="shared" ref="D3:D8" si="7">IF(ISNUMBER(AO3),AO3,"")</f>
        <v>1</v>
      </c>
      <c r="E3" s="466">
        <f>IF(ISNUMBER(AP3),AP3,"")</f>
        <v>1</v>
      </c>
      <c r="F3" s="89"/>
      <c r="G3" s="472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320">
        <f>'#1-32D'!AP34</f>
        <v>1</v>
      </c>
      <c r="AQ3" s="355" t="s">
        <v>5</v>
      </c>
      <c r="AR3" s="355" t="s">
        <v>4</v>
      </c>
      <c r="AS3" s="38">
        <f>IF(ISNUMBER('#1-32D'!AS34),'#1-32D'!AS34,"")</f>
        <v>25.352252359999998</v>
      </c>
      <c r="AT3" s="38">
        <f>IF(ISNUMBER('#1-32D'!AT34),'#1-32D'!AT34,"")</f>
        <v>7.5721814000000007</v>
      </c>
      <c r="AU3" s="38">
        <f>IF(ISNUMBER('#1-32D'!AU34),'#1-32D'!AU34,"")</f>
        <v>62.030515359999995</v>
      </c>
      <c r="AV3" s="38">
        <f>IF(ISNUMBER('#1-32D'!AV34),'#1-32D'!AV34,"")</f>
        <v>2.7451558400000002</v>
      </c>
      <c r="AW3" s="502" t="s">
        <v>23</v>
      </c>
      <c r="AX3" s="503" t="s">
        <v>6</v>
      </c>
      <c r="AY3" s="353">
        <f>IF(ISNUMBER('#1-32D'!AY34),'#1-32D'!AY34,"")</f>
        <v>132.20035000000001</v>
      </c>
      <c r="AZ3" s="353">
        <f>IF(ISNUMBER('#1-32D'!AZ34),'#1-32D'!AZ34,"")</f>
        <v>125.92265</v>
      </c>
      <c r="BA3" s="353">
        <f>IF(ISNUMBER('#1-32D'!BA34),'#1-32D'!BA34,"")</f>
        <v>58.864699999999999</v>
      </c>
      <c r="BB3" s="353">
        <f>IF(ISNUMBER('#1-32D'!BB34),'#1-32D'!BB34,"")</f>
        <v>69.855499999999992</v>
      </c>
      <c r="BC3" s="140">
        <f>'#1-32D'!BC34</f>
        <v>0</v>
      </c>
      <c r="BD3" s="141"/>
      <c r="BE3" s="141"/>
      <c r="BF3" s="142">
        <f>'#1-32D'!BF34</f>
        <v>0</v>
      </c>
      <c r="BG3" s="514" t="str">
        <f>'#1-32D'!BG34</f>
        <v>Median</v>
      </c>
      <c r="BH3" s="350">
        <f>IF(ISNUMBER('#1-32D'!BH34),'#1-32D'!BH34,"")</f>
        <v>2</v>
      </c>
      <c r="BI3" s="351">
        <f>IF(ISNUMBER('#1-32D'!BI34),'#1-32D'!BI34,"")</f>
        <v>2</v>
      </c>
      <c r="BJ3" s="512" t="str">
        <f>$AH$2</f>
        <v>O2 flow per cells</v>
      </c>
      <c r="BK3" s="512" t="str">
        <f>$AI$2</f>
        <v>pmol/(s*Mill)</v>
      </c>
      <c r="BL3" s="38">
        <f>IF(ISNUMBER('#1-32D'!BL34),'#1-32D'!BL34,"")</f>
        <v>25.352252359999998</v>
      </c>
      <c r="BM3" s="38">
        <f>IF(ISNUMBER('#1-32D'!BM34),'#1-32D'!BM34,"")</f>
        <v>7.5759693846923462</v>
      </c>
      <c r="BN3" s="38">
        <f>IF(ISNUMBER('#1-32D'!BN34),'#1-32D'!BN34,"")</f>
        <v>62.095715861654739</v>
      </c>
      <c r="BO3" s="38">
        <f>IF(ISNUMBER('#1-32D'!BO34),'#1-32D'!BO34,"")</f>
        <v>2.7517600641539697</v>
      </c>
      <c r="BP3" s="358">
        <f>'#1-32D'!BP34</f>
        <v>1</v>
      </c>
      <c r="BQ3" s="357" t="s">
        <v>19</v>
      </c>
      <c r="BR3" s="357" t="s">
        <v>20</v>
      </c>
      <c r="BS3" s="352">
        <f>IF(ISNUMBER('#1-32D'!BS34),'#1-32D'!BS34,"")</f>
        <v>0.40826163316286157</v>
      </c>
      <c r="BT3" s="352">
        <f>IF(ISNUMBER('#1-32D'!BT34),'#1-32D'!BT34,"")</f>
        <v>0.12197697615174127</v>
      </c>
      <c r="BU3" s="352">
        <f>IF(ISNUMBER('#1-32D'!BU34),'#1-32D'!BU34,"")</f>
        <v>1</v>
      </c>
      <c r="BV3" s="352">
        <f>IF(ISNUMBER('#1-32D'!BV34),'#1-32D'!BV34,"")</f>
        <v>4.4278476959059801E-2</v>
      </c>
      <c r="BW3" s="358">
        <f>'#1-32D'!BW34</f>
        <v>1</v>
      </c>
      <c r="BX3" s="357" t="s">
        <v>18</v>
      </c>
      <c r="BY3" s="357" t="s">
        <v>21</v>
      </c>
      <c r="BZ3" s="352">
        <f>IF(ISNUMBER('#1-32D'!BZ34),'#1-32D'!BZ34,"")</f>
        <v>0.59173836683713843</v>
      </c>
      <c r="CA3" s="352">
        <f>IF(ISNUMBER('#1-32D'!CA34),'#1-32D'!CA34,"")</f>
        <v>0.70127443133560052</v>
      </c>
      <c r="CB3" s="352">
        <f>IF(ISNUMBER('#1-32D'!CB34),'#1-32D'!CB34,"")</f>
        <v>0.8780230238482587</v>
      </c>
      <c r="CC3" s="352">
        <f>IF(ISNUMBER('#1-32D'!CC34),'#1-32D'!CC34,"")</f>
        <v>0.95572152304094016</v>
      </c>
      <c r="CD3" s="513">
        <f>'#1-32D'!CD34</f>
        <v>1</v>
      </c>
      <c r="CE3" s="512" t="str">
        <f>$AH$3</f>
        <v>O2 flow per cells (mt: ROX-corr.)</v>
      </c>
      <c r="CF3" s="512" t="str">
        <f>$AI$2</f>
        <v>pmol/(s*Mill)</v>
      </c>
      <c r="CG3" s="38">
        <f>IF(ISNUMBER('#1-32D'!CG34),'#1-32D'!CG34,"")</f>
        <v>22.600492295846031</v>
      </c>
      <c r="CH3" s="38">
        <f>IF(ISNUMBER('#1-32D'!CH34),'#1-32D'!CH34,"")</f>
        <v>4.8242093205383769</v>
      </c>
      <c r="CI3" s="38">
        <f>IF(ISNUMBER('#1-32D'!CI34),'#1-32D'!CI34,"")</f>
        <v>59.343955797500769</v>
      </c>
      <c r="CJ3" s="38">
        <f>IF(ISNUMBER('#1-32D'!CJ34),'#1-32D'!CJ34,"")</f>
        <v>0</v>
      </c>
      <c r="CK3" s="358">
        <f>'#1-32D'!CK34</f>
        <v>1</v>
      </c>
      <c r="CL3" s="357" t="s">
        <v>170</v>
      </c>
      <c r="CM3" s="357" t="s">
        <v>1</v>
      </c>
      <c r="CN3" s="352">
        <f>IF(ISNUMBER('#1-32D'!CN34),'#1-32D'!CN34,"")</f>
        <v>0.38084033273011175</v>
      </c>
      <c r="CO3" s="352">
        <f>IF(ISNUMBER('#1-32D'!CO34),'#1-32D'!CO34,"")</f>
        <v>8.1293407759197439E-2</v>
      </c>
      <c r="CP3" s="352">
        <f>IF(ISNUMBER('#1-32D'!CP34),'#1-32D'!CP34,"")</f>
        <v>1</v>
      </c>
      <c r="CQ3" s="352">
        <f>IF(ISNUMBER('#1-32D'!CQ34),'#1-32D'!CQ34,"")</f>
        <v>0</v>
      </c>
      <c r="CR3" s="358">
        <f>'#1-32D'!CR34</f>
        <v>1</v>
      </c>
      <c r="CS3" s="357" t="s">
        <v>171</v>
      </c>
      <c r="CT3" s="357" t="s">
        <v>1</v>
      </c>
      <c r="CU3" s="352">
        <f>IF(ISNUMBER('#1-32D'!CU34),'#1-32D'!CU34,"")</f>
        <v>0.61915966726988825</v>
      </c>
      <c r="CV3" s="352">
        <f>IF(ISNUMBER('#1-32D'!CV34),'#1-32D'!CV34,"")</f>
        <v>0.78654682342247217</v>
      </c>
      <c r="CW3" s="352">
        <f>IF(ISNUMBER('#1-32D'!CW34),'#1-32D'!CW34,"")</f>
        <v>0.91870659224080253</v>
      </c>
      <c r="CX3" s="352">
        <f>IF(ISNUMBER('#1-32D'!CX34),'#1-32D'!CX34,"")</f>
        <v>1</v>
      </c>
      <c r="CY3" s="358">
        <f>'#1-32D'!CY34</f>
        <v>1</v>
      </c>
    </row>
    <row r="4" spans="1:116">
      <c r="A4" s="435"/>
      <c r="B4" s="337" t="str">
        <f>IF(ISTEXT(BF4),BF4,"")</f>
        <v/>
      </c>
      <c r="C4" s="323" t="s">
        <v>90</v>
      </c>
      <c r="D4" s="462">
        <f t="shared" si="7"/>
        <v>2</v>
      </c>
      <c r="E4" s="466">
        <f t="shared" ref="E4:E32" si="8">IF(ISNUMBER(AP4),AP4,"")</f>
        <v>2</v>
      </c>
      <c r="F4" s="89"/>
      <c r="G4" s="469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J4" s="130"/>
      <c r="AK4" s="130"/>
      <c r="AL4" s="130"/>
      <c r="AM4" s="127"/>
      <c r="AN4" s="136">
        <f t="shared" ref="AN4:AN32" si="9">AN3+20</f>
        <v>71</v>
      </c>
      <c r="AO4" s="137">
        <v>2</v>
      </c>
      <c r="AP4" s="320">
        <f>'#2-32D'!AP34</f>
        <v>2</v>
      </c>
      <c r="AQ4" s="355" t="s">
        <v>5</v>
      </c>
      <c r="AR4" s="355" t="s">
        <v>4</v>
      </c>
      <c r="AS4" s="38">
        <f>IF(ISNUMBER('#2-32D'!AS34),'#2-32D'!AS34,"")</f>
        <v>28.061145320000001</v>
      </c>
      <c r="AT4" s="38">
        <f>IF(ISNUMBER('#2-32D'!AT34),'#2-32D'!AT34,"")</f>
        <v>8.8505333000000004</v>
      </c>
      <c r="AU4" s="38">
        <f>IF(ISNUMBER('#2-32D'!AU34),'#2-32D'!AU34,"")</f>
        <v>68.139983340000001</v>
      </c>
      <c r="AV4" s="38">
        <f>IF(ISNUMBER('#2-32D'!AV34),'#2-32D'!AV34,"")</f>
        <v>1.57840544</v>
      </c>
      <c r="AW4" s="502" t="s">
        <v>23</v>
      </c>
      <c r="AX4" s="502" t="s">
        <v>6</v>
      </c>
      <c r="AY4" s="353">
        <f>IF(ISNUMBER('#2-32D'!AY34),'#2-32D'!AY34,"")</f>
        <v>112.96715</v>
      </c>
      <c r="AZ4" s="353">
        <f>IF(ISNUMBER('#2-32D'!AZ34),'#2-32D'!AZ34,"")</f>
        <v>104.9736</v>
      </c>
      <c r="BA4" s="353">
        <f>IF(ISNUMBER('#2-32D'!BA34),'#2-32D'!BA34,"")</f>
        <v>79.863100000000003</v>
      </c>
      <c r="BB4" s="353">
        <f>IF(ISNUMBER('#2-32D'!BB34),'#2-32D'!BB34,"")</f>
        <v>63.5627</v>
      </c>
      <c r="BC4" s="140" t="e">
        <f>#REF!</f>
        <v>#REF!</v>
      </c>
      <c r="BD4" s="141"/>
      <c r="BE4" s="141"/>
      <c r="BF4" s="128">
        <f>'#2-32D'!BF34</f>
        <v>0</v>
      </c>
      <c r="BG4" s="514" t="str">
        <f>'#2-32D'!BG34</f>
        <v>Median</v>
      </c>
      <c r="BH4" s="350">
        <f>IF(ISNUMBER('#2-32D'!BH34),'#2-32D'!BH34,"")</f>
        <v>2</v>
      </c>
      <c r="BI4" s="351">
        <f>IF(ISNUMBER('#2-32D'!BI34),'#2-32D'!BI34,"")</f>
        <v>2.2000000000000002</v>
      </c>
      <c r="BJ4" s="512" t="str">
        <f t="shared" ref="BJ4:BJ8" si="10">$AH$2</f>
        <v>O2 flow per cells</v>
      </c>
      <c r="BK4" s="512" t="str">
        <f t="shared" ref="BK4:BK8" si="11">$AI$2</f>
        <v>pmol/(s*Mill)</v>
      </c>
      <c r="BL4" s="38">
        <f>IF(ISNUMBER('#2-32D'!BL34),'#2-32D'!BL34,"")</f>
        <v>25.510132109090907</v>
      </c>
      <c r="BM4" s="38">
        <f>IF(ISNUMBER('#2-32D'!BM34),'#2-32D'!BM34,"")</f>
        <v>8.0499643458092685</v>
      </c>
      <c r="BN4" s="38">
        <f>IF(ISNUMBER('#2-32D'!BN34),'#2-32D'!BN34,"")</f>
        <v>62.223429978626235</v>
      </c>
      <c r="BO4" s="38">
        <f>IF(ISNUMBER('#2-32D'!BO34),'#2-32D'!BO34,"")</f>
        <v>1.4426860135688502</v>
      </c>
      <c r="BP4" s="358">
        <f>'#2-32D'!BP34</f>
        <v>2</v>
      </c>
      <c r="BQ4" s="357" t="s">
        <v>19</v>
      </c>
      <c r="BR4" s="357" t="s">
        <v>20</v>
      </c>
      <c r="BS4" s="297">
        <f>IF(ISNUMBER('#2-32D'!BS34),'#2-32D'!BS34,"")</f>
        <v>0.41187007573553508</v>
      </c>
      <c r="BT4" s="297">
        <f>IF(ISNUMBER('#2-32D'!BT34),'#2-32D'!BT34,"")</f>
        <v>0.12999967190259845</v>
      </c>
      <c r="BU4" s="297">
        <f>IF(ISNUMBER('#2-32D'!BU34),'#2-32D'!BU34,"")</f>
        <v>1</v>
      </c>
      <c r="BV4" s="297">
        <f>IF(ISNUMBER('#2-32D'!BV34),'#2-32D'!BV34,"")</f>
        <v>2.2942925408784592E-2</v>
      </c>
      <c r="BW4" s="358">
        <f>'#2-32D'!BW34</f>
        <v>2</v>
      </c>
      <c r="BX4" s="357" t="s">
        <v>18</v>
      </c>
      <c r="BY4" s="357" t="s">
        <v>21</v>
      </c>
      <c r="BZ4" s="297">
        <f>IF(ISNUMBER('#2-32D'!BZ34),'#2-32D'!BZ34,"")</f>
        <v>0.58812992426446487</v>
      </c>
      <c r="CA4" s="297">
        <f>IF(ISNUMBER('#2-32D'!CA34),'#2-32D'!CA34,"")</f>
        <v>0.68444759417560785</v>
      </c>
      <c r="CB4" s="297">
        <f>IF(ISNUMBER('#2-32D'!CB34),'#2-32D'!CB34,"")</f>
        <v>0.87000032809740158</v>
      </c>
      <c r="CC4" s="297">
        <f>IF(ISNUMBER('#2-32D'!CC34),'#2-32D'!CC34,"")</f>
        <v>0.97705707459121538</v>
      </c>
      <c r="CD4" s="513">
        <f>'#2-32D'!CD34</f>
        <v>2</v>
      </c>
      <c r="CE4" s="512" t="str">
        <f t="shared" ref="CE4:CE8" si="12">$AH$3</f>
        <v>O2 flow per cells (mt: ROX-corr.)</v>
      </c>
      <c r="CF4" s="512" t="str">
        <f t="shared" ref="CF4:CF8" si="13">$AI$2</f>
        <v>pmol/(s*Mill)</v>
      </c>
      <c r="CG4" s="38">
        <f>IF(ISNUMBER('#2-32D'!CG34),'#2-32D'!CG34,"")</f>
        <v>24.067446095522058</v>
      </c>
      <c r="CH4" s="38">
        <f>IF(ISNUMBER('#2-32D'!CH34),'#2-32D'!CH34,"")</f>
        <v>6.6072783322404183</v>
      </c>
      <c r="CI4" s="38">
        <f>IF(ISNUMBER('#2-32D'!CI34),'#2-32D'!CI34,"")</f>
        <v>60.780743965057383</v>
      </c>
      <c r="CJ4" s="38">
        <f>IF(ISNUMBER('#2-32D'!CJ34),'#2-32D'!CJ34,"")</f>
        <v>0</v>
      </c>
      <c r="CK4" s="358">
        <f>'#2-32D'!CK34</f>
        <v>2</v>
      </c>
      <c r="CL4" s="357" t="s">
        <v>170</v>
      </c>
      <c r="CM4" s="357" t="s">
        <v>1</v>
      </c>
      <c r="CN4" s="297">
        <f>IF(ISNUMBER('#2-32D'!CN34),'#2-32D'!CN34,"")</f>
        <v>0.39793618365157035</v>
      </c>
      <c r="CO4" s="297">
        <f>IF(ISNUMBER('#2-32D'!CO34),'#2-32D'!CO34,"")</f>
        <v>0.10951947763315545</v>
      </c>
      <c r="CP4" s="297">
        <f>IF(ISNUMBER('#2-32D'!CP34),'#2-32D'!CP34,"")</f>
        <v>1</v>
      </c>
      <c r="CQ4" s="297">
        <f>IF(ISNUMBER('#2-32D'!CQ34),'#2-32D'!CQ34,"")</f>
        <v>0</v>
      </c>
      <c r="CR4" s="358">
        <f>'#2-32D'!CR34</f>
        <v>2</v>
      </c>
      <c r="CS4" s="357" t="s">
        <v>171</v>
      </c>
      <c r="CT4" s="357" t="s">
        <v>1</v>
      </c>
      <c r="CU4" s="297">
        <f>IF(ISNUMBER('#2-32D'!CU34),'#2-32D'!CU34,"")</f>
        <v>0.60206381634842965</v>
      </c>
      <c r="CV4" s="297">
        <f>IF(ISNUMBER('#2-32D'!CV34),'#2-32D'!CV34,"")</f>
        <v>0.72569595182853541</v>
      </c>
      <c r="CW4" s="297">
        <f>IF(ISNUMBER('#2-32D'!CW34),'#2-32D'!CW34,"")</f>
        <v>0.89048052236684461</v>
      </c>
      <c r="CX4" s="297">
        <f>IF(ISNUMBER('#2-32D'!CX34),'#2-32D'!CX34,"")</f>
        <v>1</v>
      </c>
      <c r="CY4" s="358">
        <f>'#2-32D'!CY34</f>
        <v>2</v>
      </c>
    </row>
    <row r="5" spans="1:116">
      <c r="A5" s="435"/>
      <c r="B5" s="337" t="str">
        <f t="shared" si="6"/>
        <v/>
      </c>
      <c r="C5" s="323" t="s">
        <v>90</v>
      </c>
      <c r="D5" s="462">
        <f t="shared" si="7"/>
        <v>3</v>
      </c>
      <c r="E5" s="466">
        <f t="shared" si="8"/>
        <v>3</v>
      </c>
      <c r="F5" s="89"/>
      <c r="G5" s="470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H5" s="127"/>
      <c r="AJ5" s="130"/>
      <c r="AK5" s="130"/>
      <c r="AL5" s="130"/>
      <c r="AM5" s="127"/>
      <c r="AN5" s="136">
        <f t="shared" si="9"/>
        <v>91</v>
      </c>
      <c r="AO5" s="137">
        <v>3</v>
      </c>
      <c r="AP5" s="320">
        <f>'#3-32D'!AP34</f>
        <v>3</v>
      </c>
      <c r="AQ5" s="355" t="s">
        <v>5</v>
      </c>
      <c r="AR5" s="355" t="s">
        <v>4</v>
      </c>
      <c r="AS5" s="38">
        <f>IF(ISNUMBER('#3-32D'!AS34),'#3-32D'!AS34,"")</f>
        <v>27.768536000000001</v>
      </c>
      <c r="AT5" s="38">
        <f>IF(ISNUMBER('#3-32D'!AT34),'#3-32D'!AT34,"")</f>
        <v>9.4576820000000001</v>
      </c>
      <c r="AU5" s="38">
        <f>IF(ISNUMBER('#3-32D'!AU34),'#3-32D'!AU34,"")</f>
        <v>66.277894000000003</v>
      </c>
      <c r="AV5" s="38">
        <f>IF(ISNUMBER('#3-32D'!AV34),'#3-32D'!AV34,"")</f>
        <v>1.922936</v>
      </c>
      <c r="AW5" s="502" t="s">
        <v>23</v>
      </c>
      <c r="AX5" s="502" t="s">
        <v>6</v>
      </c>
      <c r="AY5" s="353">
        <f>IF(ISNUMBER('#3-32D'!AY34),'#3-32D'!AY34,"")</f>
        <v>122.4932</v>
      </c>
      <c r="AZ5" s="353">
        <f>IF(ISNUMBER('#3-32D'!AZ34),'#3-32D'!AZ34,"")</f>
        <v>117.6909</v>
      </c>
      <c r="BA5" s="353">
        <f>IF(ISNUMBER('#3-32D'!BA34),'#3-32D'!BA34,"")</f>
        <v>55.490299999999998</v>
      </c>
      <c r="BB5" s="353">
        <f>IF(ISNUMBER('#3-32D'!BB34),'#3-32D'!BB34,"")</f>
        <v>30.888200000000001</v>
      </c>
      <c r="BC5" s="140" t="e">
        <f>#REF!</f>
        <v>#REF!</v>
      </c>
      <c r="BD5" s="141"/>
      <c r="BE5" s="141"/>
      <c r="BF5" s="128">
        <f>'#3-32D'!BF34</f>
        <v>0</v>
      </c>
      <c r="BG5" s="514" t="str">
        <f>'#3-32D'!BG34</f>
        <v>Median</v>
      </c>
      <c r="BH5" s="350">
        <f>IF(ISNUMBER('#3-32D'!BH34),'#3-32D'!BH34,"")</f>
        <v>1</v>
      </c>
      <c r="BI5" s="351">
        <f>IF(ISNUMBER('#3-32D'!BI34),'#3-32D'!BI34,"")</f>
        <v>2</v>
      </c>
      <c r="BJ5" s="512" t="str">
        <f t="shared" si="10"/>
        <v>O2 flow per cells</v>
      </c>
      <c r="BK5" s="512" t="str">
        <f t="shared" si="11"/>
        <v>pmol/(s*Mill)</v>
      </c>
      <c r="BL5" s="38">
        <f>IF(ISNUMBER('#3-32D'!BL34),'#3-32D'!BL34,"")</f>
        <v>27.768536000000001</v>
      </c>
      <c r="BM5" s="38">
        <f>IF(ISNUMBER('#3-32D'!BM34),'#3-32D'!BM34,"")</f>
        <v>9.4624132066033013</v>
      </c>
      <c r="BN5" s="38">
        <f>IF(ISNUMBER('#3-32D'!BN34),'#3-32D'!BN34,"")</f>
        <v>66.344238238238248</v>
      </c>
      <c r="BO5" s="38">
        <f>IF(ISNUMBER('#3-32D'!BO34),'#3-32D'!BO34,"")</f>
        <v>1.9267895791583167</v>
      </c>
      <c r="BP5" s="358">
        <f>'#3-32D'!BP34</f>
        <v>3</v>
      </c>
      <c r="BQ5" s="357" t="s">
        <v>19</v>
      </c>
      <c r="BR5" s="357" t="s">
        <v>20</v>
      </c>
      <c r="BS5" s="297">
        <f>IF(ISNUMBER('#3-32D'!BS34),'#3-32D'!BS34,"")</f>
        <v>0.41855233758634514</v>
      </c>
      <c r="BT5" s="297">
        <f>IF(ISNUMBER('#3-32D'!BT34),'#3-32D'!BT34,"")</f>
        <v>0.1426259982460622</v>
      </c>
      <c r="BU5" s="297">
        <f>IF(ISNUMBER('#3-32D'!BU34),'#3-32D'!BU34,"")</f>
        <v>1</v>
      </c>
      <c r="BV5" s="297">
        <f>IF(ISNUMBER('#3-32D'!BV34),'#3-32D'!BV34,"")</f>
        <v>2.9042304657102686E-2</v>
      </c>
      <c r="BW5" s="358">
        <f>'#3-32D'!BW34</f>
        <v>3</v>
      </c>
      <c r="BX5" s="357" t="s">
        <v>18</v>
      </c>
      <c r="BY5" s="357" t="s">
        <v>21</v>
      </c>
      <c r="BZ5" s="297">
        <f>IF(ISNUMBER('#3-32D'!BZ34),'#3-32D'!BZ34,"")</f>
        <v>0.58144766241365486</v>
      </c>
      <c r="CA5" s="297">
        <f>IF(ISNUMBER('#3-32D'!CA34),'#3-32D'!CA34,"")</f>
        <v>0.65923975226481868</v>
      </c>
      <c r="CB5" s="297">
        <f>IF(ISNUMBER('#3-32D'!CB34),'#3-32D'!CB34,"")</f>
        <v>0.85737400175393774</v>
      </c>
      <c r="CC5" s="297">
        <f>IF(ISNUMBER('#3-32D'!CC34),'#3-32D'!CC34,"")</f>
        <v>0.97095769534289733</v>
      </c>
      <c r="CD5" s="513">
        <f>'#3-32D'!CD34</f>
        <v>3</v>
      </c>
      <c r="CE5" s="512" t="str">
        <f t="shared" si="12"/>
        <v>O2 flow per cells (mt: ROX-corr.)</v>
      </c>
      <c r="CF5" s="512" t="str">
        <f t="shared" si="13"/>
        <v>pmol/(s*Mill)</v>
      </c>
      <c r="CG5" s="38">
        <f>IF(ISNUMBER('#3-32D'!CG34),'#3-32D'!CG34,"")</f>
        <v>25.841746420841684</v>
      </c>
      <c r="CH5" s="38">
        <f>IF(ISNUMBER('#3-32D'!CH34),'#3-32D'!CH34,"")</f>
        <v>7.5356236274449842</v>
      </c>
      <c r="CI5" s="38">
        <f>IF(ISNUMBER('#3-32D'!CI34),'#3-32D'!CI34,"")</f>
        <v>64.417448659079938</v>
      </c>
      <c r="CJ5" s="38">
        <f>IF(ISNUMBER('#3-32D'!CJ34),'#3-32D'!CJ34,"")</f>
        <v>0</v>
      </c>
      <c r="CK5" s="358">
        <f>'#3-32D'!CK34</f>
        <v>3</v>
      </c>
      <c r="CL5" s="357" t="s">
        <v>170</v>
      </c>
      <c r="CM5" s="357" t="s">
        <v>1</v>
      </c>
      <c r="CN5" s="297">
        <f>IF(ISNUMBER('#3-32D'!CN34),'#3-32D'!CN34,"")</f>
        <v>0.40116066312413895</v>
      </c>
      <c r="CO5" s="297">
        <f>IF(ISNUMBER('#3-32D'!CO34),'#3-32D'!CO34,"")</f>
        <v>0.11698109416481528</v>
      </c>
      <c r="CP5" s="297">
        <f>IF(ISNUMBER('#3-32D'!CP34),'#3-32D'!CP34,"")</f>
        <v>1</v>
      </c>
      <c r="CQ5" s="297">
        <f>IF(ISNUMBER('#3-32D'!CQ34),'#3-32D'!CQ34,"")</f>
        <v>0</v>
      </c>
      <c r="CR5" s="358">
        <f>'#3-32D'!CR34</f>
        <v>3</v>
      </c>
      <c r="CS5" s="357" t="s">
        <v>171</v>
      </c>
      <c r="CT5" s="357" t="s">
        <v>1</v>
      </c>
      <c r="CU5" s="297">
        <f>IF(ISNUMBER('#3-32D'!CU34),'#3-32D'!CU34,"")</f>
        <v>0.59883933687586111</v>
      </c>
      <c r="CV5" s="297">
        <f>IF(ISNUMBER('#3-32D'!CV34),'#3-32D'!CV34,"")</f>
        <v>0.70839340713569532</v>
      </c>
      <c r="CW5" s="297">
        <f>IF(ISNUMBER('#3-32D'!CW34),'#3-32D'!CW34,"")</f>
        <v>0.88301890583518472</v>
      </c>
      <c r="CX5" s="297">
        <f>IF(ISNUMBER('#3-32D'!CX34),'#3-32D'!CX34,"")</f>
        <v>1</v>
      </c>
      <c r="CY5" s="358">
        <f>'#3-32D'!CY34</f>
        <v>3</v>
      </c>
    </row>
    <row r="6" spans="1:116">
      <c r="A6" s="435"/>
      <c r="B6" s="337" t="str">
        <f t="shared" si="6"/>
        <v/>
      </c>
      <c r="C6" s="323" t="s">
        <v>90</v>
      </c>
      <c r="D6" s="462">
        <f t="shared" si="7"/>
        <v>4</v>
      </c>
      <c r="E6" s="466" t="str">
        <f t="shared" si="8"/>
        <v/>
      </c>
      <c r="F6" s="89"/>
      <c r="G6" s="471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J6" s="130"/>
      <c r="AK6" s="130"/>
      <c r="AL6" s="130"/>
      <c r="AM6" s="127"/>
      <c r="AN6" s="136">
        <f t="shared" si="9"/>
        <v>111</v>
      </c>
      <c r="AO6" s="137">
        <v>4</v>
      </c>
      <c r="AP6" s="320" t="str">
        <f>'#4-32D'!AP34</f>
        <v/>
      </c>
      <c r="AQ6" s="355" t="s">
        <v>5</v>
      </c>
      <c r="AR6" s="355" t="s">
        <v>4</v>
      </c>
      <c r="AS6" s="38" t="str">
        <f>IF(ISNUMBER('#4-32D'!AS34),'#4-32D'!AS34,"")</f>
        <v/>
      </c>
      <c r="AT6" s="38" t="str">
        <f>IF(ISNUMBER('#4-32D'!AT34),'#4-32D'!AT34,"")</f>
        <v/>
      </c>
      <c r="AU6" s="38" t="str">
        <f>IF(ISNUMBER('#4-32D'!AU34),'#4-32D'!AU34,"")</f>
        <v/>
      </c>
      <c r="AV6" s="38" t="str">
        <f>IF(ISNUMBER('#4-32D'!AV34),'#4-32D'!AV34,"")</f>
        <v/>
      </c>
      <c r="AW6" s="502" t="s">
        <v>23</v>
      </c>
      <c r="AX6" s="502" t="s">
        <v>6</v>
      </c>
      <c r="AY6" s="353" t="str">
        <f>IF(ISNUMBER('#4-32D'!AY34),'#4-32D'!AY34,"")</f>
        <v/>
      </c>
      <c r="AZ6" s="353" t="str">
        <f>IF(ISNUMBER('#4-32D'!AZ34),'#4-32D'!AZ34,"")</f>
        <v/>
      </c>
      <c r="BA6" s="353" t="str">
        <f>IF(ISNUMBER('#4-32D'!BA34),'#4-32D'!BA34,"")</f>
        <v/>
      </c>
      <c r="BB6" s="353" t="str">
        <f>IF(ISNUMBER('#4-32D'!BB34),'#4-32D'!BB34,"")</f>
        <v/>
      </c>
      <c r="BC6" s="140" t="e">
        <f>#REF!</f>
        <v>#REF!</v>
      </c>
      <c r="BD6" s="141"/>
      <c r="BE6" s="141"/>
      <c r="BF6" s="128">
        <f>'#4-32D'!BF34</f>
        <v>0</v>
      </c>
      <c r="BG6" s="514" t="str">
        <f>'#4-32D'!BG34</f>
        <v>Median</v>
      </c>
      <c r="BH6" s="350">
        <f>IF(ISNUMBER('#4-32D'!BH34),'#4-32D'!BH34,"")</f>
        <v>0</v>
      </c>
      <c r="BI6" s="351" t="str">
        <f>IF(ISNUMBER('#4-32D'!BI34),'#4-32D'!BI34,"")</f>
        <v/>
      </c>
      <c r="BJ6" s="512" t="str">
        <f t="shared" si="10"/>
        <v>O2 flow per cells</v>
      </c>
      <c r="BK6" s="512" t="str">
        <f t="shared" si="11"/>
        <v>pmol/(s*Mill)</v>
      </c>
      <c r="BL6" s="38" t="str">
        <f>IF(ISNUMBER('#4-32D'!BL34),'#4-32D'!BL34,"")</f>
        <v/>
      </c>
      <c r="BM6" s="38" t="str">
        <f>IF(ISNUMBER('#4-32D'!BM34),'#4-32D'!BM34,"")</f>
        <v/>
      </c>
      <c r="BN6" s="38" t="str">
        <f>IF(ISNUMBER('#4-32D'!BN34),'#4-32D'!BN34,"")</f>
        <v/>
      </c>
      <c r="BO6" s="38" t="str">
        <f>IF(ISNUMBER('#4-32D'!BO34),'#4-32D'!BO34,"")</f>
        <v/>
      </c>
      <c r="BP6" s="358" t="str">
        <f>'#4-32D'!BP34</f>
        <v/>
      </c>
      <c r="BQ6" s="357" t="s">
        <v>19</v>
      </c>
      <c r="BR6" s="357" t="s">
        <v>20</v>
      </c>
      <c r="BS6" s="297" t="str">
        <f>IF(ISNUMBER('#4-32D'!BS34),'#4-32D'!BS34,"")</f>
        <v/>
      </c>
      <c r="BT6" s="297" t="str">
        <f>IF(ISNUMBER('#4-32D'!BT34),'#4-32D'!BT34,"")</f>
        <v/>
      </c>
      <c r="BU6" s="297" t="str">
        <f>IF(ISNUMBER('#4-32D'!BU34),'#4-32D'!BU34,"")</f>
        <v/>
      </c>
      <c r="BV6" s="297" t="str">
        <f>IF(ISNUMBER('#4-32D'!BV34),'#4-32D'!BV34,"")</f>
        <v/>
      </c>
      <c r="BW6" s="358" t="str">
        <f>'#4-32D'!BW34</f>
        <v/>
      </c>
      <c r="BX6" s="357" t="s">
        <v>18</v>
      </c>
      <c r="BY6" s="357" t="s">
        <v>21</v>
      </c>
      <c r="BZ6" s="297" t="str">
        <f>IF(ISNUMBER('#4-32D'!BZ34),'#4-32D'!BZ34,"")</f>
        <v/>
      </c>
      <c r="CA6" s="297" t="str">
        <f>IF(ISNUMBER('#4-32D'!CA34),'#4-32D'!CA34,"")</f>
        <v/>
      </c>
      <c r="CB6" s="297" t="str">
        <f>IF(ISNUMBER('#4-32D'!CB34),'#4-32D'!CB34,"")</f>
        <v/>
      </c>
      <c r="CC6" s="297" t="str">
        <f>IF(ISNUMBER('#4-32D'!CC34),'#4-32D'!CC34,"")</f>
        <v/>
      </c>
      <c r="CD6" s="513" t="str">
        <f>'#4-32D'!CD34</f>
        <v/>
      </c>
      <c r="CE6" s="512" t="str">
        <f t="shared" si="12"/>
        <v>O2 flow per cells (mt: ROX-corr.)</v>
      </c>
      <c r="CF6" s="512" t="str">
        <f t="shared" si="13"/>
        <v>pmol/(s*Mill)</v>
      </c>
      <c r="CG6" s="38" t="str">
        <f>IF(ISNUMBER('#4-32D'!CG34),'#4-32D'!CG34,"")</f>
        <v/>
      </c>
      <c r="CH6" s="38" t="str">
        <f>IF(ISNUMBER('#4-32D'!CH34),'#4-32D'!CH34,"")</f>
        <v/>
      </c>
      <c r="CI6" s="38" t="str">
        <f>IF(ISNUMBER('#4-32D'!CI34),'#4-32D'!CI34,"")</f>
        <v/>
      </c>
      <c r="CJ6" s="38" t="str">
        <f>IF(ISNUMBER('#4-32D'!CJ34),'#4-32D'!CJ34,"")</f>
        <v/>
      </c>
      <c r="CK6" s="358" t="str">
        <f>'#4-32D'!CK34</f>
        <v/>
      </c>
      <c r="CL6" s="357" t="s">
        <v>170</v>
      </c>
      <c r="CM6" s="357" t="s">
        <v>1</v>
      </c>
      <c r="CN6" s="297" t="str">
        <f>IF(ISNUMBER('#4-32D'!CN34),'#4-32D'!CN34,"")</f>
        <v/>
      </c>
      <c r="CO6" s="297" t="str">
        <f>IF(ISNUMBER('#4-32D'!CO34),'#4-32D'!CO34,"")</f>
        <v/>
      </c>
      <c r="CP6" s="297" t="str">
        <f>IF(ISNUMBER('#4-32D'!CP34),'#4-32D'!CP34,"")</f>
        <v/>
      </c>
      <c r="CQ6" s="297" t="str">
        <f>IF(ISNUMBER('#4-32D'!CQ34),'#4-32D'!CQ34,"")</f>
        <v/>
      </c>
      <c r="CR6" s="358" t="str">
        <f>'#4-32D'!CR34</f>
        <v/>
      </c>
      <c r="CS6" s="357" t="s">
        <v>171</v>
      </c>
      <c r="CT6" s="357" t="s">
        <v>1</v>
      </c>
      <c r="CU6" s="297" t="str">
        <f>IF(ISNUMBER('#4-32D'!CU34),'#4-32D'!CU34,"")</f>
        <v/>
      </c>
      <c r="CV6" s="297" t="str">
        <f>IF(ISNUMBER('#4-32D'!CV34),'#4-32D'!CV34,"")</f>
        <v/>
      </c>
      <c r="CW6" s="297" t="str">
        <f>IF(ISNUMBER('#4-32D'!CW34),'#4-32D'!CW34,"")</f>
        <v/>
      </c>
      <c r="CX6" s="297" t="str">
        <f>IF(ISNUMBER('#4-32D'!CX34),'#4-32D'!CX34,"")</f>
        <v/>
      </c>
      <c r="CY6" s="358" t="str">
        <f>'#4-32D'!CY34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35"/>
      <c r="B7" s="337" t="str">
        <f t="shared" si="6"/>
        <v/>
      </c>
      <c r="C7" s="323" t="s">
        <v>90</v>
      </c>
      <c r="D7" s="462">
        <f t="shared" si="7"/>
        <v>5</v>
      </c>
      <c r="E7" s="466" t="str">
        <f t="shared" si="8"/>
        <v/>
      </c>
      <c r="F7" s="89"/>
      <c r="G7" s="471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H7" s="127"/>
      <c r="AJ7" s="130"/>
      <c r="AK7" s="130"/>
      <c r="AL7" s="130"/>
      <c r="AM7" s="127"/>
      <c r="AN7" s="136">
        <f t="shared" si="9"/>
        <v>131</v>
      </c>
      <c r="AO7" s="137">
        <v>5</v>
      </c>
      <c r="AP7" s="320" t="str">
        <f>'#5-32D'!AP34</f>
        <v/>
      </c>
      <c r="AQ7" s="355" t="s">
        <v>5</v>
      </c>
      <c r="AR7" s="355" t="s">
        <v>4</v>
      </c>
      <c r="AS7" s="38" t="str">
        <f>IF(ISNUMBER('#5-32D'!AS34),'#5-32D'!AS34,"")</f>
        <v/>
      </c>
      <c r="AT7" s="38" t="str">
        <f>IF(ISNUMBER('#5-32D'!AT34),'#5-32D'!AT34,"")</f>
        <v/>
      </c>
      <c r="AU7" s="38" t="str">
        <f>IF(ISNUMBER('#5-32D'!AU34),'#5-32D'!AU34,"")</f>
        <v/>
      </c>
      <c r="AV7" s="38" t="str">
        <f>IF(ISNUMBER('#5-32D'!AV34),'#5-32D'!AV34,"")</f>
        <v/>
      </c>
      <c r="AW7" s="502" t="s">
        <v>23</v>
      </c>
      <c r="AX7" s="502" t="s">
        <v>6</v>
      </c>
      <c r="AY7" s="353" t="str">
        <f>IF(ISNUMBER('#5-32D'!AY34),'#5-32D'!AY34,"")</f>
        <v/>
      </c>
      <c r="AZ7" s="353" t="str">
        <f>IF(ISNUMBER('#5-32D'!AZ34),'#5-32D'!AZ34,"")</f>
        <v/>
      </c>
      <c r="BA7" s="353" t="str">
        <f>IF(ISNUMBER('#5-32D'!BA34),'#5-32D'!BA34,"")</f>
        <v/>
      </c>
      <c r="BB7" s="353" t="str">
        <f>IF(ISNUMBER('#5-32D'!BB34),'#5-32D'!BB34,"")</f>
        <v/>
      </c>
      <c r="BC7" s="140" t="e">
        <f>#REF!</f>
        <v>#REF!</v>
      </c>
      <c r="BD7" s="141"/>
      <c r="BE7" s="141"/>
      <c r="BF7" s="128">
        <f>'#5-32D'!BF34</f>
        <v>0</v>
      </c>
      <c r="BG7" s="514" t="str">
        <f>'#5-32D'!BG34</f>
        <v>Median</v>
      </c>
      <c r="BH7" s="350">
        <f>IF(ISNUMBER('#5-32D'!BH34),'#5-32D'!BH34,"")</f>
        <v>0</v>
      </c>
      <c r="BI7" s="351" t="str">
        <f>IF(ISNUMBER('#5-32D'!BI34),'#5-32D'!BI34,"")</f>
        <v/>
      </c>
      <c r="BJ7" s="512" t="str">
        <f t="shared" si="10"/>
        <v>O2 flow per cells</v>
      </c>
      <c r="BK7" s="512" t="str">
        <f t="shared" si="11"/>
        <v>pmol/(s*Mill)</v>
      </c>
      <c r="BL7" s="38" t="str">
        <f>IF(ISNUMBER('#5-32D'!BL34),'#5-32D'!BL34,"")</f>
        <v/>
      </c>
      <c r="BM7" s="38" t="str">
        <f>IF(ISNUMBER('#5-32D'!BM34),'#5-32D'!BM34,"")</f>
        <v/>
      </c>
      <c r="BN7" s="38" t="str">
        <f>IF(ISNUMBER('#5-32D'!BN34),'#5-32D'!BN34,"")</f>
        <v/>
      </c>
      <c r="BO7" s="38" t="str">
        <f>IF(ISNUMBER('#5-32D'!BO34),'#5-32D'!BO34,"")</f>
        <v/>
      </c>
      <c r="BP7" s="358" t="str">
        <f>'#5-32D'!BP34</f>
        <v/>
      </c>
      <c r="BQ7" s="357" t="s">
        <v>19</v>
      </c>
      <c r="BR7" s="357" t="s">
        <v>20</v>
      </c>
      <c r="BS7" s="297" t="str">
        <f>IF(ISNUMBER('#5-32D'!BS34),'#5-32D'!BS34,"")</f>
        <v/>
      </c>
      <c r="BT7" s="297" t="str">
        <f>IF(ISNUMBER('#5-32D'!BT34),'#5-32D'!BT34,"")</f>
        <v/>
      </c>
      <c r="BU7" s="297" t="str">
        <f>IF(ISNUMBER('#5-32D'!BU34),'#5-32D'!BU34,"")</f>
        <v/>
      </c>
      <c r="BV7" s="297" t="str">
        <f>IF(ISNUMBER('#5-32D'!BV34),'#5-32D'!BV34,"")</f>
        <v/>
      </c>
      <c r="BW7" s="358" t="str">
        <f>'#5-32D'!BW34</f>
        <v/>
      </c>
      <c r="BX7" s="357" t="s">
        <v>18</v>
      </c>
      <c r="BY7" s="357" t="s">
        <v>21</v>
      </c>
      <c r="BZ7" s="297" t="str">
        <f>IF(ISNUMBER('#5-32D'!BZ34),'#5-32D'!BZ34,"")</f>
        <v/>
      </c>
      <c r="CA7" s="297" t="str">
        <f>IF(ISNUMBER('#5-32D'!CA34),'#5-32D'!CA34,"")</f>
        <v/>
      </c>
      <c r="CB7" s="297" t="str">
        <f>IF(ISNUMBER('#5-32D'!CB34),'#5-32D'!CB34,"")</f>
        <v/>
      </c>
      <c r="CC7" s="297" t="str">
        <f>IF(ISNUMBER('#5-32D'!CC34),'#5-32D'!CC34,"")</f>
        <v/>
      </c>
      <c r="CD7" s="513" t="str">
        <f>'#5-32D'!CD34</f>
        <v/>
      </c>
      <c r="CE7" s="512" t="str">
        <f t="shared" si="12"/>
        <v>O2 flow per cells (mt: ROX-corr.)</v>
      </c>
      <c r="CF7" s="512" t="str">
        <f t="shared" si="13"/>
        <v>pmol/(s*Mill)</v>
      </c>
      <c r="CG7" s="38" t="str">
        <f>IF(ISNUMBER('#5-32D'!CG34),'#5-32D'!CG34,"")</f>
        <v/>
      </c>
      <c r="CH7" s="38" t="str">
        <f>IF(ISNUMBER('#5-32D'!CH34),'#5-32D'!CH34,"")</f>
        <v/>
      </c>
      <c r="CI7" s="38" t="str">
        <f>IF(ISNUMBER('#5-32D'!CI34),'#5-32D'!CI34,"")</f>
        <v/>
      </c>
      <c r="CJ7" s="38" t="str">
        <f>IF(ISNUMBER('#5-32D'!CJ34),'#5-32D'!CJ34,"")</f>
        <v/>
      </c>
      <c r="CK7" s="358" t="str">
        <f>'#5-32D'!CK34</f>
        <v/>
      </c>
      <c r="CL7" s="357" t="s">
        <v>170</v>
      </c>
      <c r="CM7" s="357" t="s">
        <v>1</v>
      </c>
      <c r="CN7" s="297" t="str">
        <f>IF(ISNUMBER('#5-32D'!CN34),'#5-32D'!CN34,"")</f>
        <v/>
      </c>
      <c r="CO7" s="297" t="str">
        <f>IF(ISNUMBER('#5-32D'!CO34),'#5-32D'!CO34,"")</f>
        <v/>
      </c>
      <c r="CP7" s="297" t="str">
        <f>IF(ISNUMBER('#5-32D'!CP34),'#5-32D'!CP34,"")</f>
        <v/>
      </c>
      <c r="CQ7" s="297" t="str">
        <f>IF(ISNUMBER('#5-32D'!CQ34),'#5-32D'!CQ34,"")</f>
        <v/>
      </c>
      <c r="CR7" s="358" t="str">
        <f>'#5-32D'!CR34</f>
        <v/>
      </c>
      <c r="CS7" s="357" t="s">
        <v>171</v>
      </c>
      <c r="CT7" s="357" t="s">
        <v>1</v>
      </c>
      <c r="CU7" s="297" t="str">
        <f>IF(ISNUMBER('#5-32D'!CU34),'#5-32D'!CU34,"")</f>
        <v/>
      </c>
      <c r="CV7" s="297" t="str">
        <f>IF(ISNUMBER('#5-32D'!CV34),'#5-32D'!CV34,"")</f>
        <v/>
      </c>
      <c r="CW7" s="297" t="str">
        <f>IF(ISNUMBER('#5-32D'!CW34),'#5-32D'!CW34,"")</f>
        <v/>
      </c>
      <c r="CX7" s="297" t="str">
        <f>IF(ISNUMBER('#5-32D'!CX34),'#5-32D'!CX34,"")</f>
        <v/>
      </c>
      <c r="CY7" s="358" t="str">
        <f>'#5-32D'!CY34</f>
        <v/>
      </c>
    </row>
    <row r="8" spans="1:116">
      <c r="A8" s="435"/>
      <c r="B8" s="337" t="str">
        <f t="shared" si="6"/>
        <v/>
      </c>
      <c r="C8" s="323" t="s">
        <v>90</v>
      </c>
      <c r="D8" s="462">
        <f t="shared" si="7"/>
        <v>6</v>
      </c>
      <c r="E8" s="466" t="str">
        <f t="shared" si="8"/>
        <v/>
      </c>
      <c r="F8" s="89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J8" s="130"/>
      <c r="AK8" s="130"/>
      <c r="AL8" s="130"/>
      <c r="AM8" s="127"/>
      <c r="AN8" s="136">
        <f t="shared" si="9"/>
        <v>151</v>
      </c>
      <c r="AO8" s="137">
        <v>6</v>
      </c>
      <c r="AP8" s="320" t="str">
        <f>'#6-32D'!AP34</f>
        <v/>
      </c>
      <c r="AQ8" s="355" t="s">
        <v>5</v>
      </c>
      <c r="AR8" s="355" t="s">
        <v>4</v>
      </c>
      <c r="AS8" s="38" t="str">
        <f>IF(ISNUMBER('#6-32D'!AS34),'#6-32D'!AS34,"")</f>
        <v/>
      </c>
      <c r="AT8" s="38" t="str">
        <f>IF(ISNUMBER('#6-32D'!AT34),'#6-32D'!AT34,"")</f>
        <v/>
      </c>
      <c r="AU8" s="38" t="str">
        <f>IF(ISNUMBER('#6-32D'!AU34),'#6-32D'!AU34,"")</f>
        <v/>
      </c>
      <c r="AV8" s="38" t="str">
        <f>IF(ISNUMBER('#6-32D'!AV34),'#6-32D'!AV34,"")</f>
        <v/>
      </c>
      <c r="AW8" s="502" t="s">
        <v>23</v>
      </c>
      <c r="AX8" s="502" t="s">
        <v>6</v>
      </c>
      <c r="AY8" s="353" t="str">
        <f>IF(ISNUMBER('#6-32D'!AY34),'#6-32D'!AY34,"")</f>
        <v/>
      </c>
      <c r="AZ8" s="353" t="str">
        <f>IF(ISNUMBER('#6-32D'!AZ34),'#6-32D'!AZ34,"")</f>
        <v/>
      </c>
      <c r="BA8" s="353" t="str">
        <f>IF(ISNUMBER('#6-32D'!BA34),'#6-32D'!BA34,"")</f>
        <v/>
      </c>
      <c r="BB8" s="353" t="str">
        <f>IF(ISNUMBER('#6-32D'!BB34),'#6-32D'!BB34,"")</f>
        <v/>
      </c>
      <c r="BC8" s="140" t="e">
        <f>#REF!</f>
        <v>#REF!</v>
      </c>
      <c r="BD8" s="141"/>
      <c r="BE8" s="141"/>
      <c r="BF8" s="128">
        <f>'#6-32D'!BF34</f>
        <v>0</v>
      </c>
      <c r="BG8" s="514" t="str">
        <f>'#6-32D'!BG34</f>
        <v>Median</v>
      </c>
      <c r="BH8" s="350">
        <f>IF(ISNUMBER('#6-32D'!BH34),'#6-32D'!BH34,"")</f>
        <v>0</v>
      </c>
      <c r="BI8" s="351" t="str">
        <f>IF(ISNUMBER('#6-32D'!BI34),'#6-32D'!BI34,"")</f>
        <v/>
      </c>
      <c r="BJ8" s="512" t="str">
        <f t="shared" si="10"/>
        <v>O2 flow per cells</v>
      </c>
      <c r="BK8" s="512" t="str">
        <f t="shared" si="11"/>
        <v>pmol/(s*Mill)</v>
      </c>
      <c r="BL8" s="38" t="str">
        <f>IF(ISNUMBER('#6-32D'!BL34),'#6-32D'!BL34,"")</f>
        <v/>
      </c>
      <c r="BM8" s="38" t="str">
        <f>IF(ISNUMBER('#6-32D'!BM34),'#6-32D'!BM34,"")</f>
        <v/>
      </c>
      <c r="BN8" s="38" t="str">
        <f>IF(ISNUMBER('#6-32D'!BN34),'#6-32D'!BN34,"")</f>
        <v/>
      </c>
      <c r="BO8" s="38" t="str">
        <f>IF(ISNUMBER('#6-32D'!BO34),'#6-32D'!BO34,"")</f>
        <v/>
      </c>
      <c r="BP8" s="358" t="str">
        <f>'#6-32D'!BP34</f>
        <v/>
      </c>
      <c r="BQ8" s="357" t="s">
        <v>19</v>
      </c>
      <c r="BR8" s="357" t="s">
        <v>20</v>
      </c>
      <c r="BS8" s="297" t="str">
        <f>IF(ISNUMBER('#6-32D'!BS34),'#6-32D'!BS34,"")</f>
        <v/>
      </c>
      <c r="BT8" s="297" t="str">
        <f>IF(ISNUMBER('#6-32D'!BT34),'#6-32D'!BT34,"")</f>
        <v/>
      </c>
      <c r="BU8" s="297" t="str">
        <f>IF(ISNUMBER('#6-32D'!BU34),'#6-32D'!BU34,"")</f>
        <v/>
      </c>
      <c r="BV8" s="297" t="str">
        <f>IF(ISNUMBER('#6-32D'!BV34),'#6-32D'!BV34,"")</f>
        <v/>
      </c>
      <c r="BW8" s="358" t="str">
        <f>'#6-32D'!BW34</f>
        <v/>
      </c>
      <c r="BX8" s="357" t="s">
        <v>18</v>
      </c>
      <c r="BY8" s="357" t="s">
        <v>21</v>
      </c>
      <c r="BZ8" s="297" t="str">
        <f>IF(ISNUMBER('#6-32D'!BZ34),'#6-32D'!BZ34,"")</f>
        <v/>
      </c>
      <c r="CA8" s="297" t="str">
        <f>IF(ISNUMBER('#6-32D'!CA34),'#6-32D'!CA34,"")</f>
        <v/>
      </c>
      <c r="CB8" s="297" t="str">
        <f>IF(ISNUMBER('#6-32D'!CB34),'#6-32D'!CB34,"")</f>
        <v/>
      </c>
      <c r="CC8" s="297" t="str">
        <f>IF(ISNUMBER('#6-32D'!CC34),'#6-32D'!CC34,"")</f>
        <v/>
      </c>
      <c r="CD8" s="513" t="str">
        <f>'#6-32D'!CD34</f>
        <v/>
      </c>
      <c r="CE8" s="512" t="str">
        <f t="shared" si="12"/>
        <v>O2 flow per cells (mt: ROX-corr.)</v>
      </c>
      <c r="CF8" s="512" t="str">
        <f t="shared" si="13"/>
        <v>pmol/(s*Mill)</v>
      </c>
      <c r="CG8" s="38" t="str">
        <f>IF(ISNUMBER('#6-32D'!CG34),'#6-32D'!CG34,"")</f>
        <v/>
      </c>
      <c r="CH8" s="38" t="str">
        <f>IF(ISNUMBER('#6-32D'!CH34),'#6-32D'!CH34,"")</f>
        <v/>
      </c>
      <c r="CI8" s="38" t="str">
        <f>IF(ISNUMBER('#6-32D'!CI34),'#6-32D'!CI34,"")</f>
        <v/>
      </c>
      <c r="CJ8" s="38" t="str">
        <f>IF(ISNUMBER('#6-32D'!CJ34),'#6-32D'!CJ34,"")</f>
        <v/>
      </c>
      <c r="CK8" s="358" t="str">
        <f>'#6-32D'!CK34</f>
        <v/>
      </c>
      <c r="CL8" s="357" t="s">
        <v>170</v>
      </c>
      <c r="CM8" s="357" t="s">
        <v>1</v>
      </c>
      <c r="CN8" s="297" t="str">
        <f>IF(ISNUMBER('#6-32D'!CN34),'#6-32D'!CN34,"")</f>
        <v/>
      </c>
      <c r="CO8" s="297" t="str">
        <f>IF(ISNUMBER('#6-32D'!CO34),'#6-32D'!CO34,"")</f>
        <v/>
      </c>
      <c r="CP8" s="297" t="str">
        <f>IF(ISNUMBER('#6-32D'!CP34),'#6-32D'!CP34,"")</f>
        <v/>
      </c>
      <c r="CQ8" s="297" t="str">
        <f>IF(ISNUMBER('#6-32D'!CQ34),'#6-32D'!CQ34,"")</f>
        <v/>
      </c>
      <c r="CR8" s="358" t="str">
        <f>'#6-32D'!CR34</f>
        <v/>
      </c>
      <c r="CS8" s="357" t="s">
        <v>171</v>
      </c>
      <c r="CT8" s="357" t="s">
        <v>1</v>
      </c>
      <c r="CU8" s="297" t="str">
        <f>IF(ISNUMBER('#6-32D'!CU34),'#6-32D'!CU34,"")</f>
        <v/>
      </c>
      <c r="CV8" s="297" t="str">
        <f>IF(ISNUMBER('#6-32D'!CV34),'#6-32D'!CV34,"")</f>
        <v/>
      </c>
      <c r="CW8" s="297" t="str">
        <f>IF(ISNUMBER('#6-32D'!CW34),'#6-32D'!CW34,"")</f>
        <v/>
      </c>
      <c r="CX8" s="297" t="str">
        <f>IF(ISNUMBER('#6-32D'!CX34),'#6-32D'!CX34,"")</f>
        <v/>
      </c>
      <c r="CY8" s="358" t="str">
        <f>'#6-32D'!CY34</f>
        <v/>
      </c>
    </row>
    <row r="9" spans="1:116">
      <c r="A9" s="435"/>
      <c r="B9" s="337" t="str">
        <f t="shared" si="6"/>
        <v/>
      </c>
      <c r="C9" s="323" t="s">
        <v>90</v>
      </c>
      <c r="D9" s="338">
        <f t="shared" ref="D9:D21" si="14">IF(ISNUMBER(AO9),AO9,"")</f>
        <v>7</v>
      </c>
      <c r="E9" s="466" t="str">
        <f t="shared" si="8"/>
        <v/>
      </c>
      <c r="F9" s="89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H9" s="127"/>
      <c r="AJ9" s="130"/>
      <c r="AK9" s="130"/>
      <c r="AL9" s="130"/>
      <c r="AM9" s="127"/>
      <c r="AN9" s="136">
        <f t="shared" si="9"/>
        <v>171</v>
      </c>
      <c r="AO9" s="137">
        <v>7</v>
      </c>
      <c r="AP9" s="320"/>
      <c r="AQ9" s="37"/>
      <c r="AR9" s="37"/>
      <c r="AS9" s="38"/>
      <c r="AT9" s="38"/>
      <c r="AU9" s="355"/>
      <c r="AV9" s="38"/>
      <c r="AW9" s="139"/>
      <c r="AX9" s="139"/>
      <c r="AY9" s="38"/>
      <c r="AZ9" s="38"/>
      <c r="BA9" s="355"/>
      <c r="BB9" s="38"/>
      <c r="BC9" s="140"/>
      <c r="BD9" s="141"/>
      <c r="BE9" s="141"/>
      <c r="BF9" s="142"/>
      <c r="BG9" s="142"/>
      <c r="BH9" s="321"/>
      <c r="BI9" s="144"/>
      <c r="BJ9" s="28"/>
      <c r="BK9" s="28"/>
      <c r="BL9" s="38"/>
      <c r="BM9" s="38"/>
      <c r="BN9" s="38"/>
      <c r="BO9" s="38"/>
      <c r="BP9" s="148"/>
      <c r="BQ9" s="357"/>
      <c r="BR9" s="357"/>
      <c r="BS9" s="315"/>
      <c r="BT9" s="315"/>
      <c r="BU9" s="315"/>
      <c r="BV9" s="315"/>
      <c r="BW9" s="148"/>
      <c r="BX9" s="29"/>
      <c r="BY9" s="29"/>
      <c r="BZ9" s="312"/>
      <c r="CA9" s="312"/>
      <c r="CB9" s="312"/>
      <c r="CC9" s="312"/>
      <c r="CD9" s="148"/>
      <c r="CE9" s="28"/>
      <c r="CF9" s="28"/>
      <c r="CG9" s="26"/>
      <c r="CH9" s="26"/>
      <c r="CI9" s="26"/>
      <c r="CJ9" s="26"/>
      <c r="CK9" s="148"/>
      <c r="CL9" s="29"/>
      <c r="CM9" s="29"/>
      <c r="CN9" s="312"/>
      <c r="CO9" s="312"/>
      <c r="CP9" s="312"/>
      <c r="CQ9" s="312"/>
      <c r="CR9" s="148"/>
      <c r="CS9" s="29"/>
      <c r="CT9" s="29"/>
      <c r="CU9" s="312"/>
      <c r="CV9" s="312"/>
      <c r="CW9" s="312"/>
      <c r="CX9" s="312"/>
      <c r="CY9" s="148"/>
    </row>
    <row r="10" spans="1:116">
      <c r="A10" s="435"/>
      <c r="B10" s="337" t="str">
        <f t="shared" si="6"/>
        <v/>
      </c>
      <c r="C10" s="323" t="s">
        <v>90</v>
      </c>
      <c r="D10" s="338">
        <f t="shared" si="14"/>
        <v>8</v>
      </c>
      <c r="E10" s="466" t="str">
        <f t="shared" si="8"/>
        <v/>
      </c>
      <c r="F10" s="89"/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J10" s="130"/>
      <c r="AK10" s="130"/>
      <c r="AL10" s="130"/>
      <c r="AM10" s="127"/>
      <c r="AN10" s="136">
        <f t="shared" si="9"/>
        <v>191</v>
      </c>
      <c r="AO10" s="137">
        <v>8</v>
      </c>
      <c r="AP10" s="320"/>
      <c r="AQ10" s="37"/>
      <c r="AR10" s="37"/>
      <c r="AS10" s="38"/>
      <c r="AT10" s="38"/>
      <c r="AU10" s="38"/>
      <c r="AV10" s="38"/>
      <c r="AW10" s="139"/>
      <c r="AX10" s="139"/>
      <c r="AY10" s="139"/>
      <c r="AZ10" s="316"/>
      <c r="BA10" s="316"/>
      <c r="BB10" s="316"/>
      <c r="BC10" s="140"/>
      <c r="BD10" s="141"/>
      <c r="BE10" s="141"/>
      <c r="BF10" s="142"/>
      <c r="BG10" s="143"/>
      <c r="BH10" s="321"/>
      <c r="BI10" s="144"/>
      <c r="BJ10" s="28"/>
      <c r="BK10" s="28"/>
      <c r="BL10" s="38"/>
      <c r="BM10" s="38"/>
      <c r="BN10" s="38"/>
      <c r="BO10" s="38"/>
      <c r="BP10" s="148"/>
      <c r="BQ10" s="357"/>
      <c r="BR10" s="357"/>
      <c r="BS10" s="315"/>
      <c r="BT10" s="315"/>
      <c r="BU10" s="315"/>
      <c r="BV10" s="315"/>
      <c r="BW10" s="148"/>
      <c r="BX10" s="29"/>
      <c r="BY10" s="29"/>
      <c r="BZ10" s="312"/>
      <c r="CA10" s="312"/>
      <c r="CB10" s="312"/>
      <c r="CC10" s="312"/>
      <c r="CD10" s="148"/>
      <c r="CE10" s="28"/>
      <c r="CF10" s="28"/>
      <c r="CG10" s="26"/>
      <c r="CH10" s="26"/>
      <c r="CI10" s="26"/>
      <c r="CJ10" s="26"/>
      <c r="CK10" s="148"/>
      <c r="CL10" s="29"/>
      <c r="CM10" s="29"/>
      <c r="CN10" s="312"/>
      <c r="CO10" s="312"/>
      <c r="CP10" s="312"/>
      <c r="CQ10" s="312"/>
      <c r="CR10" s="148"/>
      <c r="CS10" s="29"/>
      <c r="CT10" s="29"/>
      <c r="CU10" s="312"/>
      <c r="CV10" s="312"/>
      <c r="CW10" s="312"/>
      <c r="CX10" s="312"/>
      <c r="CY10" s="148"/>
    </row>
    <row r="11" spans="1:116" ht="13.8" thickBot="1">
      <c r="A11" s="435"/>
      <c r="B11" s="337" t="str">
        <f t="shared" si="6"/>
        <v/>
      </c>
      <c r="C11" s="323" t="s">
        <v>90</v>
      </c>
      <c r="D11" s="338">
        <f t="shared" si="14"/>
        <v>9</v>
      </c>
      <c r="E11" s="466" t="str">
        <f t="shared" si="8"/>
        <v/>
      </c>
      <c r="F11" s="89"/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J11" s="127"/>
      <c r="AK11" s="127"/>
      <c r="AL11" s="127"/>
      <c r="AM11" s="468" t="s">
        <v>68</v>
      </c>
      <c r="AN11" s="136">
        <f t="shared" si="9"/>
        <v>211</v>
      </c>
      <c r="AO11" s="137">
        <v>9</v>
      </c>
      <c r="AP11" s="320"/>
      <c r="AQ11" s="37"/>
      <c r="AR11" s="37"/>
      <c r="AS11" s="38"/>
      <c r="AT11" s="38"/>
      <c r="AU11" s="38"/>
      <c r="AV11" s="38"/>
      <c r="AW11" s="139"/>
      <c r="AX11" s="139"/>
      <c r="AY11" s="139"/>
      <c r="AZ11" s="39"/>
      <c r="BA11" s="39"/>
      <c r="BB11" s="39"/>
      <c r="BC11" s="140"/>
      <c r="BD11" s="141"/>
      <c r="BE11" s="141"/>
      <c r="BF11" s="142"/>
      <c r="BG11" s="143"/>
      <c r="BH11" s="321"/>
      <c r="BI11" s="144"/>
      <c r="BJ11" s="28"/>
      <c r="BK11" s="28"/>
      <c r="BL11" s="26"/>
      <c r="BM11" s="26"/>
      <c r="BN11" s="26"/>
      <c r="BO11" s="26"/>
      <c r="BP11" s="148"/>
      <c r="BQ11" s="29"/>
      <c r="BR11" s="29"/>
      <c r="BS11" s="24"/>
      <c r="BT11" s="24"/>
      <c r="BU11" s="24"/>
      <c r="BV11" s="24"/>
      <c r="BW11" s="148"/>
      <c r="BX11" s="29"/>
      <c r="BY11" s="29"/>
      <c r="BZ11" s="24"/>
      <c r="CA11" s="24"/>
      <c r="CB11" s="24"/>
      <c r="CC11" s="24"/>
      <c r="CD11" s="148"/>
      <c r="CE11" s="28"/>
      <c r="CF11" s="28"/>
      <c r="CG11" s="26"/>
      <c r="CH11" s="26"/>
      <c r="CI11" s="26"/>
      <c r="CJ11" s="26"/>
      <c r="CK11" s="148"/>
      <c r="CL11" s="29"/>
      <c r="CM11" s="29"/>
      <c r="CN11" s="24"/>
      <c r="CO11" s="24"/>
      <c r="CP11" s="24"/>
      <c r="CQ11" s="24"/>
      <c r="CR11" s="148"/>
      <c r="CS11" s="29"/>
      <c r="CT11" s="29"/>
      <c r="CU11" s="24"/>
      <c r="CV11" s="24"/>
      <c r="CW11" s="24"/>
      <c r="CX11" s="24"/>
      <c r="CY11" s="148"/>
    </row>
    <row r="12" spans="1:116">
      <c r="A12" s="435"/>
      <c r="B12" s="337" t="str">
        <f t="shared" si="6"/>
        <v/>
      </c>
      <c r="C12" s="323" t="s">
        <v>90</v>
      </c>
      <c r="D12" s="338">
        <f t="shared" si="14"/>
        <v>10</v>
      </c>
      <c r="E12" s="466" t="str">
        <f t="shared" si="8"/>
        <v/>
      </c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B12" s="127"/>
      <c r="AC12" s="127"/>
      <c r="AD12" s="127"/>
      <c r="AE12" s="127"/>
      <c r="AF12" s="127"/>
      <c r="AG12" s="127"/>
      <c r="AH12" s="127"/>
      <c r="AI12" s="127" t="str">
        <f>BR33</f>
        <v>FCR, relative</v>
      </c>
      <c r="AJ12" s="506" t="str">
        <f>AJ$1</f>
        <v>R</v>
      </c>
      <c r="AK12" s="31" t="str">
        <f t="shared" ref="AK12:AM12" si="15">AK$1</f>
        <v>1Omy</v>
      </c>
      <c r="AL12" s="32" t="str">
        <f t="shared" si="15"/>
        <v>2U</v>
      </c>
      <c r="AM12" s="33" t="str">
        <f t="shared" si="15"/>
        <v>3Rot</v>
      </c>
      <c r="AN12" s="136">
        <f t="shared" si="9"/>
        <v>231</v>
      </c>
      <c r="AO12" s="137">
        <v>10</v>
      </c>
      <c r="AP12" s="320"/>
      <c r="AQ12" s="37"/>
      <c r="AR12" s="37"/>
      <c r="AS12" s="38"/>
      <c r="AT12" s="38"/>
      <c r="AU12" s="38"/>
      <c r="AV12" s="38"/>
      <c r="AW12" s="139"/>
      <c r="AX12" s="139"/>
      <c r="AY12" s="39"/>
      <c r="AZ12" s="39"/>
      <c r="BA12" s="39"/>
      <c r="BB12" s="39"/>
      <c r="BC12" s="140"/>
      <c r="BD12" s="141"/>
      <c r="BE12" s="141"/>
      <c r="BF12" s="142"/>
      <c r="BG12" s="143"/>
      <c r="BH12" s="321"/>
      <c r="BI12" s="144"/>
      <c r="BJ12" s="28"/>
      <c r="BK12" s="28"/>
      <c r="BL12" s="26"/>
      <c r="BM12" s="26"/>
      <c r="BN12" s="26"/>
      <c r="BO12" s="26"/>
      <c r="BP12" s="148"/>
      <c r="BQ12" s="29"/>
      <c r="BR12" s="29"/>
      <c r="BS12" s="24"/>
      <c r="BT12" s="24"/>
      <c r="BU12" s="24"/>
      <c r="BV12" s="24"/>
      <c r="BW12" s="148"/>
      <c r="BX12" s="29"/>
      <c r="BY12" s="29"/>
      <c r="BZ12" s="24"/>
      <c r="CA12" s="24"/>
      <c r="CB12" s="24"/>
      <c r="CC12" s="24"/>
      <c r="CD12" s="148"/>
      <c r="CE12" s="28"/>
      <c r="CF12" s="28"/>
      <c r="CG12" s="26"/>
      <c r="CH12" s="26"/>
      <c r="CI12" s="26"/>
      <c r="CJ12" s="26"/>
      <c r="CK12" s="148"/>
      <c r="CL12" s="29"/>
      <c r="CM12" s="29"/>
      <c r="CN12" s="24"/>
      <c r="CO12" s="24"/>
      <c r="CP12" s="24"/>
      <c r="CQ12" s="24"/>
      <c r="CR12" s="148"/>
      <c r="CS12" s="29"/>
      <c r="CT12" s="29"/>
      <c r="CU12" s="24"/>
      <c r="CV12" s="24"/>
      <c r="CW12" s="24"/>
      <c r="CX12" s="24"/>
      <c r="CY12" s="148"/>
    </row>
    <row r="13" spans="1:116">
      <c r="A13" s="435"/>
      <c r="B13" s="337" t="str">
        <f t="shared" si="6"/>
        <v/>
      </c>
      <c r="C13" s="323" t="s">
        <v>90</v>
      </c>
      <c r="D13" s="338">
        <f t="shared" si="14"/>
        <v>11</v>
      </c>
      <c r="E13" s="466" t="str">
        <f t="shared" si="8"/>
        <v/>
      </c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I13" s="127" t="str">
        <f>BR34</f>
        <v>Median</v>
      </c>
      <c r="AJ13" s="212">
        <f>BS34</f>
        <v>0.41187007573553508</v>
      </c>
      <c r="AK13" s="212">
        <f t="shared" ref="AK13:AM13" si="16">BT34</f>
        <v>0.12999967190259845</v>
      </c>
      <c r="AL13" s="212">
        <f t="shared" si="16"/>
        <v>1</v>
      </c>
      <c r="AM13" s="212">
        <f t="shared" si="16"/>
        <v>2.9042304657102686E-2</v>
      </c>
      <c r="AN13" s="136">
        <f t="shared" si="9"/>
        <v>251</v>
      </c>
      <c r="AO13" s="137">
        <v>11</v>
      </c>
      <c r="AP13" s="320"/>
      <c r="AQ13" s="37"/>
      <c r="AR13" s="37"/>
      <c r="AS13" s="38"/>
      <c r="AT13" s="38"/>
      <c r="AU13" s="38"/>
      <c r="AV13" s="38"/>
      <c r="AW13" s="139"/>
      <c r="AX13" s="139"/>
      <c r="AY13" s="39"/>
      <c r="AZ13" s="39"/>
      <c r="BA13" s="39"/>
      <c r="BB13" s="39"/>
      <c r="BC13" s="140"/>
      <c r="BD13" s="141"/>
      <c r="BE13" s="141"/>
      <c r="BF13" s="142"/>
      <c r="BG13" s="142"/>
      <c r="BH13" s="143"/>
      <c r="BI13" s="144"/>
      <c r="BJ13" s="28"/>
      <c r="BK13" s="28"/>
      <c r="BL13" s="26"/>
      <c r="BM13" s="26"/>
      <c r="BN13" s="26"/>
      <c r="BO13" s="26"/>
      <c r="BP13" s="148"/>
      <c r="BQ13" s="29"/>
      <c r="BR13" s="29"/>
      <c r="BS13" s="24"/>
      <c r="BT13" s="24"/>
      <c r="BU13" s="24"/>
      <c r="BV13" s="24"/>
      <c r="BW13" s="148"/>
      <c r="BX13" s="29"/>
      <c r="BY13" s="29"/>
      <c r="BZ13" s="24"/>
      <c r="CA13" s="24"/>
      <c r="CB13" s="24"/>
      <c r="CC13" s="24"/>
      <c r="CD13" s="148"/>
      <c r="CE13" s="28"/>
      <c r="CF13" s="28"/>
      <c r="CG13" s="26"/>
      <c r="CH13" s="26"/>
      <c r="CI13" s="26"/>
      <c r="CJ13" s="26"/>
      <c r="CK13" s="148"/>
      <c r="CL13" s="29"/>
      <c r="CM13" s="29"/>
      <c r="CN13" s="24"/>
      <c r="CO13" s="24"/>
      <c r="CP13" s="24"/>
      <c r="CQ13" s="24"/>
      <c r="CR13" s="148"/>
      <c r="CS13" s="29"/>
      <c r="CT13" s="29"/>
      <c r="CU13" s="24"/>
      <c r="CV13" s="24"/>
      <c r="CW13" s="24"/>
      <c r="CX13" s="24"/>
      <c r="CY13" s="148"/>
    </row>
    <row r="14" spans="1:116">
      <c r="A14" s="435"/>
      <c r="B14" s="337" t="str">
        <f t="shared" si="6"/>
        <v/>
      </c>
      <c r="C14" s="323" t="s">
        <v>90</v>
      </c>
      <c r="D14" s="338">
        <f t="shared" si="14"/>
        <v>12</v>
      </c>
      <c r="E14" s="466" t="str">
        <f t="shared" si="8"/>
        <v/>
      </c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M14" s="133"/>
      <c r="AN14" s="136">
        <f t="shared" si="9"/>
        <v>271</v>
      </c>
      <c r="AO14" s="137">
        <v>12</v>
      </c>
      <c r="AP14" s="320"/>
      <c r="AQ14" s="37"/>
      <c r="AR14" s="37"/>
      <c r="AS14" s="38"/>
      <c r="AT14" s="38"/>
      <c r="AU14" s="38"/>
      <c r="AV14" s="38"/>
      <c r="AW14" s="139"/>
      <c r="AX14" s="139"/>
      <c r="AY14" s="39"/>
      <c r="AZ14" s="39"/>
      <c r="BA14" s="39"/>
      <c r="BB14" s="39"/>
      <c r="BC14" s="140"/>
      <c r="BD14" s="141"/>
      <c r="BE14" s="141"/>
      <c r="BF14" s="142"/>
      <c r="BG14" s="143"/>
      <c r="BH14" s="321"/>
      <c r="BI14" s="144"/>
      <c r="BJ14" s="28"/>
      <c r="BK14" s="28"/>
      <c r="BL14" s="26"/>
      <c r="BM14" s="26"/>
      <c r="BN14" s="26"/>
      <c r="BO14" s="26"/>
      <c r="BP14" s="148"/>
      <c r="BQ14" s="29"/>
      <c r="BR14" s="29"/>
      <c r="BS14" s="24"/>
      <c r="BT14" s="357"/>
      <c r="BU14" s="24"/>
      <c r="BV14" s="24"/>
      <c r="BW14" s="148"/>
      <c r="BX14" s="29"/>
      <c r="BY14" s="29"/>
      <c r="BZ14" s="24"/>
      <c r="CA14" s="24"/>
      <c r="CB14" s="24"/>
      <c r="CC14" s="24"/>
      <c r="CD14" s="148"/>
      <c r="CE14" s="28"/>
      <c r="CF14" s="28"/>
      <c r="CG14" s="26"/>
      <c r="CH14" s="26"/>
      <c r="CI14" s="26"/>
      <c r="CJ14" s="26"/>
      <c r="CK14" s="148"/>
      <c r="CL14" s="29"/>
      <c r="CM14" s="29"/>
      <c r="CN14" s="24"/>
      <c r="CO14" s="24"/>
      <c r="CP14" s="24"/>
      <c r="CQ14" s="24"/>
      <c r="CR14" s="148"/>
      <c r="CS14" s="29"/>
      <c r="CT14" s="29"/>
      <c r="CU14" s="24"/>
      <c r="CV14" s="24"/>
      <c r="CW14" s="24"/>
      <c r="CX14" s="24"/>
      <c r="CY14" s="148"/>
    </row>
    <row r="15" spans="1:116">
      <c r="A15" s="435"/>
      <c r="B15" s="337" t="str">
        <f t="shared" si="6"/>
        <v/>
      </c>
      <c r="C15" s="323" t="s">
        <v>90</v>
      </c>
      <c r="D15" s="338">
        <f t="shared" si="14"/>
        <v>13</v>
      </c>
      <c r="E15" s="466" t="str">
        <f t="shared" si="8"/>
        <v/>
      </c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9"/>
        <v>291</v>
      </c>
      <c r="AO15" s="137">
        <v>13</v>
      </c>
      <c r="AP15" s="320"/>
      <c r="AQ15" s="37"/>
      <c r="AR15" s="37"/>
      <c r="AS15" s="38"/>
      <c r="AT15" s="38"/>
      <c r="AU15" s="38"/>
      <c r="AV15" s="38"/>
      <c r="AW15" s="139"/>
      <c r="AX15" s="139"/>
      <c r="AY15" s="39"/>
      <c r="AZ15" s="39"/>
      <c r="BA15" s="39"/>
      <c r="BB15" s="39"/>
      <c r="BC15" s="140"/>
      <c r="BD15" s="141"/>
      <c r="BE15" s="141"/>
      <c r="BF15" s="142"/>
      <c r="BG15" s="143"/>
      <c r="BH15" s="321"/>
      <c r="BI15" s="144"/>
      <c r="BJ15" s="28"/>
      <c r="BK15" s="28"/>
      <c r="BL15" s="26"/>
      <c r="BM15" s="26"/>
      <c r="BN15" s="26"/>
      <c r="BO15" s="26"/>
      <c r="BP15" s="148"/>
      <c r="BQ15" s="29"/>
      <c r="BR15" s="29"/>
      <c r="BS15" s="24"/>
      <c r="BT15" s="24"/>
      <c r="BU15" s="24"/>
      <c r="BV15" s="24"/>
      <c r="BW15" s="148"/>
      <c r="BX15" s="29"/>
      <c r="BY15" s="29"/>
      <c r="BZ15" s="24"/>
      <c r="CA15" s="24"/>
      <c r="CB15" s="24"/>
      <c r="CC15" s="24"/>
      <c r="CD15" s="148"/>
      <c r="CE15" s="28"/>
      <c r="CF15" s="28"/>
      <c r="CG15" s="26"/>
      <c r="CH15" s="26"/>
      <c r="CI15" s="26"/>
      <c r="CJ15" s="26"/>
      <c r="CK15" s="148"/>
      <c r="CL15" s="29"/>
      <c r="CM15" s="29"/>
      <c r="CN15" s="24"/>
      <c r="CO15" s="24"/>
      <c r="CP15" s="24"/>
      <c r="CQ15" s="24"/>
      <c r="CR15" s="148"/>
      <c r="CS15" s="29"/>
      <c r="CT15" s="29"/>
      <c r="CU15" s="24"/>
      <c r="CV15" s="24"/>
      <c r="CW15" s="24"/>
      <c r="CX15" s="24"/>
      <c r="CY15" s="148"/>
    </row>
    <row r="16" spans="1:116">
      <c r="A16" s="435"/>
      <c r="B16" s="337" t="str">
        <f t="shared" si="6"/>
        <v/>
      </c>
      <c r="C16" s="323" t="s">
        <v>90</v>
      </c>
      <c r="D16" s="338">
        <f t="shared" si="14"/>
        <v>14</v>
      </c>
      <c r="E16" s="466" t="str">
        <f t="shared" si="8"/>
        <v/>
      </c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9"/>
        <v>311</v>
      </c>
      <c r="AO16" s="137">
        <v>14</v>
      </c>
      <c r="AP16" s="320"/>
      <c r="AQ16" s="37"/>
      <c r="AR16" s="37"/>
      <c r="AS16" s="38"/>
      <c r="AT16" s="38"/>
      <c r="AU16" s="38"/>
      <c r="AV16" s="38"/>
      <c r="AW16" s="139"/>
      <c r="AX16" s="139"/>
      <c r="AY16" s="39"/>
      <c r="AZ16" s="39"/>
      <c r="BA16" s="39"/>
      <c r="BB16" s="39"/>
      <c r="BC16" s="140"/>
      <c r="BD16" s="141"/>
      <c r="BE16" s="141"/>
      <c r="BF16" s="142"/>
      <c r="BG16" s="143"/>
      <c r="BH16" s="321"/>
      <c r="BI16" s="144"/>
      <c r="BJ16" s="28"/>
      <c r="BK16" s="28"/>
      <c r="BL16" s="26"/>
      <c r="BM16" s="26"/>
      <c r="BN16" s="26"/>
      <c r="BO16" s="26"/>
      <c r="BP16" s="148"/>
      <c r="BQ16" s="29"/>
      <c r="BR16" s="29"/>
      <c r="BS16" s="24"/>
      <c r="BT16" s="24"/>
      <c r="BU16" s="24"/>
      <c r="BV16" s="24"/>
      <c r="BW16" s="148"/>
      <c r="BX16" s="29"/>
      <c r="BY16" s="29"/>
      <c r="BZ16" s="24"/>
      <c r="CA16" s="24"/>
      <c r="CB16" s="24"/>
      <c r="CC16" s="24"/>
      <c r="CD16" s="148"/>
      <c r="CE16" s="28"/>
      <c r="CF16" s="28"/>
      <c r="CG16" s="26"/>
      <c r="CH16" s="26"/>
      <c r="CI16" s="26"/>
      <c r="CJ16" s="26"/>
      <c r="CK16" s="148"/>
      <c r="CL16" s="29"/>
      <c r="CM16" s="29"/>
      <c r="CN16" s="24"/>
      <c r="CO16" s="24"/>
      <c r="CP16" s="24"/>
      <c r="CQ16" s="24"/>
      <c r="CR16" s="148"/>
      <c r="CS16" s="29"/>
      <c r="CT16" s="29"/>
      <c r="CU16" s="24"/>
      <c r="CV16" s="24"/>
      <c r="CW16" s="24"/>
      <c r="CX16" s="24"/>
      <c r="CY16" s="148"/>
    </row>
    <row r="17" spans="1:103">
      <c r="A17" s="435"/>
      <c r="B17" s="337" t="str">
        <f t="shared" si="6"/>
        <v/>
      </c>
      <c r="C17" s="323" t="s">
        <v>90</v>
      </c>
      <c r="D17" s="338">
        <f t="shared" si="14"/>
        <v>15</v>
      </c>
      <c r="E17" s="466" t="str">
        <f t="shared" si="8"/>
        <v/>
      </c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M17" s="133"/>
      <c r="AN17" s="136">
        <f t="shared" si="9"/>
        <v>331</v>
      </c>
      <c r="AO17" s="137">
        <v>15</v>
      </c>
      <c r="AP17" s="320"/>
      <c r="AQ17" s="37"/>
      <c r="AR17" s="37"/>
      <c r="AS17" s="38"/>
      <c r="AT17" s="38"/>
      <c r="AU17" s="38"/>
      <c r="AV17" s="38"/>
      <c r="AW17" s="139"/>
      <c r="AX17" s="139"/>
      <c r="AY17" s="39"/>
      <c r="AZ17" s="39"/>
      <c r="BA17" s="39"/>
      <c r="BB17" s="39"/>
      <c r="BC17" s="140"/>
      <c r="BD17" s="141"/>
      <c r="BE17" s="141"/>
      <c r="BF17" s="142"/>
      <c r="BG17" s="143"/>
      <c r="BH17" s="321"/>
      <c r="BI17" s="144"/>
      <c r="BJ17" s="28"/>
      <c r="BK17" s="28"/>
      <c r="BL17" s="26"/>
      <c r="BM17" s="26"/>
      <c r="BN17" s="26"/>
      <c r="BO17" s="26"/>
      <c r="BP17" s="148"/>
      <c r="BQ17" s="29"/>
      <c r="BR17" s="29"/>
      <c r="BS17" s="24"/>
      <c r="BT17" s="24"/>
      <c r="BU17" s="24"/>
      <c r="BV17" s="24"/>
      <c r="BW17" s="148"/>
      <c r="BX17" s="29"/>
      <c r="BY17" s="29"/>
      <c r="BZ17" s="24"/>
      <c r="CA17" s="24"/>
      <c r="CB17" s="24"/>
      <c r="CC17" s="24"/>
      <c r="CD17" s="148"/>
      <c r="CE17" s="28"/>
      <c r="CF17" s="28"/>
      <c r="CG17" s="26"/>
      <c r="CH17" s="26"/>
      <c r="CI17" s="26"/>
      <c r="CJ17" s="26"/>
      <c r="CK17" s="148"/>
      <c r="CL17" s="29"/>
      <c r="CM17" s="29"/>
      <c r="CN17" s="24"/>
      <c r="CO17" s="24"/>
      <c r="CP17" s="24"/>
      <c r="CQ17" s="24"/>
      <c r="CR17" s="148"/>
      <c r="CS17" s="29"/>
      <c r="CT17" s="29"/>
      <c r="CU17" s="24"/>
      <c r="CV17" s="24"/>
      <c r="CW17" s="24"/>
      <c r="CX17" s="24"/>
      <c r="CY17" s="148"/>
    </row>
    <row r="18" spans="1:103">
      <c r="A18" s="435"/>
      <c r="B18" s="337" t="str">
        <f t="shared" si="6"/>
        <v/>
      </c>
      <c r="C18" s="323" t="s">
        <v>90</v>
      </c>
      <c r="D18" s="338">
        <f t="shared" si="14"/>
        <v>16</v>
      </c>
      <c r="E18" s="466" t="str">
        <f t="shared" si="8"/>
        <v/>
      </c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M18" s="133"/>
      <c r="AN18" s="155">
        <f t="shared" si="9"/>
        <v>351</v>
      </c>
      <c r="AO18" s="137">
        <v>16</v>
      </c>
      <c r="AP18" s="320"/>
      <c r="AQ18" s="37"/>
      <c r="AR18" s="37"/>
      <c r="AS18" s="38"/>
      <c r="AT18" s="38"/>
      <c r="AU18" s="38"/>
      <c r="AV18" s="38"/>
      <c r="AW18" s="139"/>
      <c r="AX18" s="139"/>
      <c r="AY18" s="39"/>
      <c r="AZ18" s="39"/>
      <c r="BA18" s="39"/>
      <c r="BB18" s="39"/>
      <c r="BC18" s="140"/>
      <c r="BD18" s="141"/>
      <c r="BE18" s="141"/>
      <c r="BF18" s="142"/>
      <c r="BG18" s="143"/>
      <c r="BH18" s="321"/>
      <c r="BI18" s="144"/>
      <c r="BJ18" s="28"/>
      <c r="BK18" s="28"/>
      <c r="BL18" s="26"/>
      <c r="BM18" s="26"/>
      <c r="BN18" s="26"/>
      <c r="BO18" s="26"/>
      <c r="BP18" s="148"/>
      <c r="BQ18" s="29"/>
      <c r="BR18" s="29"/>
      <c r="BS18" s="24"/>
      <c r="BT18" s="24"/>
      <c r="BU18" s="24"/>
      <c r="BV18" s="24"/>
      <c r="BW18" s="148"/>
      <c r="BX18" s="29"/>
      <c r="BY18" s="29"/>
      <c r="BZ18" s="24"/>
      <c r="CA18" s="24"/>
      <c r="CB18" s="24"/>
      <c r="CC18" s="24"/>
      <c r="CD18" s="148"/>
      <c r="CE18" s="28"/>
      <c r="CF18" s="28"/>
      <c r="CG18" s="26"/>
      <c r="CH18" s="26"/>
      <c r="CI18" s="26"/>
      <c r="CJ18" s="26"/>
      <c r="CK18" s="148"/>
      <c r="CL18" s="29"/>
      <c r="CM18" s="29"/>
      <c r="CN18" s="24"/>
      <c r="CO18" s="24"/>
      <c r="CP18" s="24"/>
      <c r="CQ18" s="24"/>
      <c r="CR18" s="148"/>
      <c r="CS18" s="29"/>
      <c r="CT18" s="29"/>
      <c r="CU18" s="24"/>
      <c r="CV18" s="24"/>
      <c r="CW18" s="24"/>
      <c r="CX18" s="24"/>
      <c r="CY18" s="148"/>
    </row>
    <row r="19" spans="1:103">
      <c r="A19" s="435"/>
      <c r="B19" s="337" t="str">
        <f t="shared" si="6"/>
        <v/>
      </c>
      <c r="C19" s="323" t="s">
        <v>90</v>
      </c>
      <c r="D19" s="338">
        <f t="shared" si="14"/>
        <v>17</v>
      </c>
      <c r="E19" s="466" t="str">
        <f t="shared" si="8"/>
        <v/>
      </c>
      <c r="F19" s="89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26"/>
      <c r="AH19" s="127"/>
      <c r="AM19" s="133"/>
      <c r="AN19" s="155">
        <f t="shared" si="9"/>
        <v>371</v>
      </c>
      <c r="AO19" s="137">
        <v>17</v>
      </c>
      <c r="AP19" s="320"/>
      <c r="AQ19" s="37"/>
      <c r="AR19" s="37"/>
      <c r="AS19" s="38"/>
      <c r="AT19" s="38"/>
      <c r="AU19" s="38"/>
      <c r="AV19" s="38"/>
      <c r="AW19" s="139"/>
      <c r="AX19" s="139"/>
      <c r="AY19" s="39"/>
      <c r="AZ19" s="39"/>
      <c r="BA19" s="39"/>
      <c r="BB19" s="39"/>
      <c r="BC19" s="140"/>
      <c r="BD19" s="141"/>
      <c r="BE19" s="141"/>
      <c r="BF19" s="142"/>
      <c r="BG19" s="143"/>
      <c r="BH19" s="321"/>
      <c r="BI19" s="144"/>
      <c r="BJ19" s="28"/>
      <c r="BK19" s="28"/>
      <c r="BL19" s="26"/>
      <c r="BM19" s="26"/>
      <c r="BN19" s="26"/>
      <c r="BO19" s="26"/>
      <c r="BP19" s="148"/>
      <c r="BQ19" s="29"/>
      <c r="BR19" s="29"/>
      <c r="BS19" s="24"/>
      <c r="BT19" s="24"/>
      <c r="BU19" s="24"/>
      <c r="BV19" s="24"/>
      <c r="BW19" s="148"/>
      <c r="BX19" s="29"/>
      <c r="BY19" s="29"/>
      <c r="BZ19" s="24"/>
      <c r="CA19" s="24"/>
      <c r="CB19" s="24"/>
      <c r="CC19" s="24"/>
      <c r="CD19" s="148"/>
      <c r="CE19" s="28"/>
      <c r="CF19" s="28"/>
      <c r="CG19" s="26"/>
      <c r="CH19" s="26"/>
      <c r="CI19" s="26"/>
      <c r="CJ19" s="26"/>
      <c r="CK19" s="148"/>
      <c r="CL19" s="29"/>
      <c r="CM19" s="29"/>
      <c r="CN19" s="24"/>
      <c r="CO19" s="24"/>
      <c r="CP19" s="24"/>
      <c r="CQ19" s="24"/>
      <c r="CR19" s="148"/>
      <c r="CS19" s="29"/>
      <c r="CT19" s="29"/>
      <c r="CU19" s="24"/>
      <c r="CV19" s="24"/>
      <c r="CW19" s="24"/>
      <c r="CX19" s="24"/>
      <c r="CY19" s="148"/>
    </row>
    <row r="20" spans="1:103">
      <c r="A20" s="435"/>
      <c r="B20" s="337" t="str">
        <f t="shared" si="6"/>
        <v/>
      </c>
      <c r="C20" s="323" t="s">
        <v>90</v>
      </c>
      <c r="D20" s="338">
        <f t="shared" si="14"/>
        <v>18</v>
      </c>
      <c r="E20" s="466" t="str">
        <f t="shared" si="8"/>
        <v/>
      </c>
      <c r="F20" s="8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AN20" s="136">
        <f t="shared" si="9"/>
        <v>391</v>
      </c>
      <c r="AO20" s="137">
        <v>18</v>
      </c>
      <c r="AP20" s="320"/>
      <c r="AQ20" s="37"/>
      <c r="AR20" s="37"/>
      <c r="AS20" s="38"/>
      <c r="AT20" s="38"/>
      <c r="AU20" s="38"/>
      <c r="AV20" s="38"/>
      <c r="AW20" s="139"/>
      <c r="AX20" s="139"/>
      <c r="AY20" s="39"/>
      <c r="AZ20" s="39"/>
      <c r="BA20" s="39"/>
      <c r="BB20" s="39"/>
      <c r="BC20" s="140"/>
      <c r="BD20" s="141"/>
      <c r="BE20" s="141"/>
      <c r="BF20" s="142"/>
      <c r="BG20" s="143"/>
      <c r="BH20" s="321"/>
      <c r="BI20" s="144"/>
      <c r="BJ20" s="28"/>
      <c r="BK20" s="28"/>
      <c r="BL20" s="26"/>
      <c r="BM20" s="26"/>
      <c r="BN20" s="26"/>
      <c r="BO20" s="26"/>
      <c r="BP20" s="148"/>
      <c r="BQ20" s="29"/>
      <c r="BR20" s="29"/>
      <c r="BS20" s="24"/>
      <c r="BT20" s="24"/>
      <c r="BU20" s="24"/>
      <c r="BV20" s="24"/>
      <c r="BW20" s="148"/>
      <c r="BX20" s="29"/>
      <c r="BY20" s="29"/>
      <c r="BZ20" s="24"/>
      <c r="CA20" s="24"/>
      <c r="CB20" s="24"/>
      <c r="CC20" s="24"/>
      <c r="CD20" s="148"/>
      <c r="CE20" s="28"/>
      <c r="CF20" s="28"/>
      <c r="CG20" s="26"/>
      <c r="CH20" s="26"/>
      <c r="CI20" s="26"/>
      <c r="CJ20" s="26"/>
      <c r="CK20" s="148"/>
      <c r="CL20" s="29"/>
      <c r="CM20" s="29"/>
      <c r="CN20" s="24"/>
      <c r="CO20" s="24"/>
      <c r="CP20" s="24"/>
      <c r="CQ20" s="24"/>
      <c r="CR20" s="148"/>
      <c r="CS20" s="29"/>
      <c r="CT20" s="29"/>
      <c r="CU20" s="24"/>
      <c r="CV20" s="24"/>
      <c r="CW20" s="24"/>
      <c r="CX20" s="24"/>
      <c r="CY20" s="148"/>
    </row>
    <row r="21" spans="1:103">
      <c r="A21" s="435"/>
      <c r="C21" s="323" t="s">
        <v>90</v>
      </c>
      <c r="D21" s="338">
        <f t="shared" si="14"/>
        <v>19</v>
      </c>
      <c r="E21" s="466" t="str">
        <f t="shared" si="8"/>
        <v/>
      </c>
      <c r="F21" s="22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AN21" s="136">
        <f t="shared" si="9"/>
        <v>411</v>
      </c>
      <c r="AO21" s="137">
        <v>19</v>
      </c>
      <c r="AP21" s="320"/>
      <c r="AQ21" s="37"/>
      <c r="AR21" s="37"/>
      <c r="AS21" s="38"/>
      <c r="AT21" s="38"/>
      <c r="AU21" s="38"/>
      <c r="AV21" s="38"/>
      <c r="AW21" s="139"/>
      <c r="AX21" s="139"/>
      <c r="AY21" s="39"/>
      <c r="AZ21" s="39"/>
      <c r="BA21" s="39"/>
      <c r="BB21" s="39"/>
      <c r="BC21" s="140"/>
      <c r="BD21" s="141"/>
      <c r="BE21" s="141"/>
      <c r="BF21" s="142"/>
      <c r="BG21" s="143"/>
      <c r="BH21" s="321"/>
      <c r="BI21" s="144"/>
      <c r="BJ21" s="28"/>
      <c r="BK21" s="28"/>
      <c r="BL21" s="26"/>
      <c r="BM21" s="26"/>
      <c r="BN21" s="26"/>
      <c r="BO21" s="26"/>
      <c r="BP21" s="148"/>
      <c r="BQ21" s="29"/>
      <c r="BR21" s="29"/>
      <c r="BS21" s="24"/>
      <c r="BT21" s="24"/>
      <c r="BU21" s="24"/>
      <c r="BV21" s="24"/>
      <c r="BW21" s="148"/>
      <c r="BX21" s="29"/>
      <c r="BY21" s="29"/>
      <c r="BZ21" s="24"/>
      <c r="CA21" s="24"/>
      <c r="CB21" s="24"/>
      <c r="CC21" s="24"/>
      <c r="CD21" s="148"/>
      <c r="CE21" s="28"/>
      <c r="CF21" s="28"/>
      <c r="CG21" s="26"/>
      <c r="CH21" s="26"/>
      <c r="CI21" s="26"/>
      <c r="CJ21" s="26"/>
      <c r="CK21" s="148"/>
      <c r="CL21" s="29"/>
      <c r="CM21" s="29"/>
      <c r="CN21" s="24"/>
      <c r="CO21" s="24"/>
      <c r="CP21" s="24"/>
      <c r="CQ21" s="24"/>
      <c r="CR21" s="148"/>
      <c r="CS21" s="29"/>
      <c r="CT21" s="29"/>
      <c r="CU21" s="24"/>
      <c r="CV21" s="24"/>
      <c r="CW21" s="24"/>
      <c r="CX21" s="24"/>
      <c r="CY21" s="148"/>
    </row>
    <row r="22" spans="1:103">
      <c r="A22" s="435"/>
      <c r="C22" s="323" t="s">
        <v>90</v>
      </c>
      <c r="D22" s="338">
        <f t="shared" ref="D22:D32" si="17">IF(ISNUMBER(AO22),AO22,"")</f>
        <v>20</v>
      </c>
      <c r="E22" s="466" t="str">
        <f t="shared" si="8"/>
        <v/>
      </c>
      <c r="G22" s="150" t="s">
        <v>263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2"/>
      <c r="AA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9"/>
        <v>431</v>
      </c>
      <c r="AO22" s="137">
        <v>20</v>
      </c>
      <c r="AP22" s="320"/>
      <c r="AQ22" s="37"/>
      <c r="AR22" s="37"/>
      <c r="AS22" s="38"/>
      <c r="AT22" s="38"/>
      <c r="AU22" s="38"/>
      <c r="AV22" s="38"/>
      <c r="AW22" s="139"/>
      <c r="AX22" s="139"/>
      <c r="AY22" s="39"/>
      <c r="AZ22" s="39"/>
      <c r="BA22" s="39"/>
      <c r="BB22" s="39"/>
      <c r="BC22" s="140"/>
      <c r="BD22" s="141"/>
      <c r="BE22" s="141"/>
      <c r="BF22" s="142"/>
      <c r="BG22" s="143"/>
      <c r="BH22" s="321"/>
      <c r="BI22" s="144"/>
      <c r="BJ22" s="28"/>
      <c r="BK22" s="28"/>
      <c r="BL22" s="26"/>
      <c r="BM22" s="26"/>
      <c r="BN22" s="26"/>
      <c r="BO22" s="26"/>
      <c r="BP22" s="148"/>
      <c r="BQ22" s="29"/>
      <c r="BR22" s="29"/>
      <c r="BS22" s="24"/>
      <c r="BT22" s="24"/>
      <c r="BU22" s="24"/>
      <c r="BV22" s="24"/>
      <c r="BW22" s="148"/>
      <c r="BX22" s="29"/>
      <c r="BY22" s="29"/>
      <c r="BZ22" s="24"/>
      <c r="CA22" s="24"/>
      <c r="CB22" s="24"/>
      <c r="CC22" s="24"/>
      <c r="CD22" s="148"/>
      <c r="CE22" s="28"/>
      <c r="CF22" s="28"/>
      <c r="CG22" s="26"/>
      <c r="CH22" s="26"/>
      <c r="CI22" s="26"/>
      <c r="CJ22" s="26"/>
      <c r="CK22" s="148"/>
      <c r="CL22" s="29"/>
      <c r="CM22" s="29"/>
      <c r="CN22" s="24"/>
      <c r="CO22" s="24"/>
      <c r="CP22" s="24"/>
      <c r="CQ22" s="24"/>
      <c r="CR22" s="148"/>
      <c r="CS22" s="29"/>
      <c r="CT22" s="29"/>
      <c r="CU22" s="24"/>
      <c r="CV22" s="24"/>
      <c r="CW22" s="24"/>
      <c r="CX22" s="24"/>
      <c r="CY22" s="148"/>
    </row>
    <row r="23" spans="1:103">
      <c r="A23" s="435"/>
      <c r="C23" s="323" t="s">
        <v>90</v>
      </c>
      <c r="D23" s="338">
        <f t="shared" si="17"/>
        <v>21</v>
      </c>
      <c r="E23" s="466" t="str">
        <f t="shared" si="8"/>
        <v/>
      </c>
      <c r="G23" s="465" t="s">
        <v>64</v>
      </c>
      <c r="H23" s="460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AH23" s="23"/>
      <c r="AI23" s="141"/>
      <c r="AJ23" s="134"/>
      <c r="AK23" s="134"/>
      <c r="AL23" s="134"/>
      <c r="AM23" s="134"/>
      <c r="AN23" s="136">
        <f t="shared" si="9"/>
        <v>451</v>
      </c>
      <c r="AO23" s="137">
        <v>21</v>
      </c>
      <c r="AP23" s="320"/>
      <c r="AQ23" s="37"/>
      <c r="AR23" s="37"/>
      <c r="AS23" s="38"/>
      <c r="AT23" s="38"/>
      <c r="AU23" s="38"/>
      <c r="AV23" s="38"/>
      <c r="AW23" s="139"/>
      <c r="AX23" s="139"/>
      <c r="AY23" s="39"/>
      <c r="AZ23" s="39"/>
      <c r="BA23" s="39"/>
      <c r="BB23" s="39"/>
      <c r="BC23" s="140"/>
      <c r="BD23" s="141"/>
      <c r="BE23" s="141"/>
      <c r="BF23" s="142"/>
      <c r="BG23" s="143"/>
      <c r="BH23" s="321"/>
      <c r="BI23" s="144"/>
      <c r="BJ23" s="28"/>
      <c r="BK23" s="28"/>
      <c r="BL23" s="26"/>
      <c r="BM23" s="26"/>
      <c r="BN23" s="26"/>
      <c r="BO23" s="26"/>
      <c r="BP23" s="148"/>
      <c r="BQ23" s="29"/>
      <c r="BR23" s="29"/>
      <c r="BS23" s="24"/>
      <c r="BT23" s="24"/>
      <c r="BU23" s="24"/>
      <c r="BV23" s="24"/>
      <c r="BW23" s="148"/>
      <c r="BX23" s="29"/>
      <c r="BY23" s="29"/>
      <c r="BZ23" s="24"/>
      <c r="CA23" s="24"/>
      <c r="CB23" s="24"/>
      <c r="CC23" s="24"/>
      <c r="CD23" s="148"/>
      <c r="CE23" s="28"/>
      <c r="CF23" s="28"/>
      <c r="CG23" s="26"/>
      <c r="CH23" s="26"/>
      <c r="CI23" s="26"/>
      <c r="CJ23" s="26"/>
      <c r="CK23" s="148"/>
      <c r="CL23" s="29"/>
      <c r="CM23" s="29"/>
      <c r="CN23" s="24"/>
      <c r="CO23" s="24"/>
      <c r="CP23" s="24"/>
      <c r="CQ23" s="24"/>
      <c r="CR23" s="148"/>
      <c r="CS23" s="29"/>
      <c r="CT23" s="29"/>
      <c r="CU23" s="24"/>
      <c r="CV23" s="24"/>
      <c r="CW23" s="24"/>
      <c r="CX23" s="24"/>
      <c r="CY23" s="148"/>
    </row>
    <row r="24" spans="1:103">
      <c r="A24" s="435"/>
      <c r="C24" s="323" t="s">
        <v>90</v>
      </c>
      <c r="D24" s="338">
        <f t="shared" si="17"/>
        <v>22</v>
      </c>
      <c r="E24" s="466" t="str">
        <f t="shared" si="8"/>
        <v/>
      </c>
      <c r="Z24" s="116"/>
      <c r="AH24" s="23"/>
      <c r="AI24" s="141"/>
      <c r="AJ24" s="134"/>
      <c r="AK24" s="134"/>
      <c r="AL24" s="134"/>
      <c r="AM24" s="134"/>
      <c r="AN24" s="136">
        <f t="shared" si="9"/>
        <v>471</v>
      </c>
      <c r="AO24" s="137">
        <v>22</v>
      </c>
      <c r="AP24" s="320"/>
      <c r="AQ24" s="37"/>
      <c r="AR24" s="37"/>
      <c r="AS24" s="38"/>
      <c r="AT24" s="38"/>
      <c r="AU24" s="38"/>
      <c r="AV24" s="38"/>
      <c r="AW24" s="139"/>
      <c r="AX24" s="139"/>
      <c r="AY24" s="39"/>
      <c r="AZ24" s="39"/>
      <c r="BA24" s="39"/>
      <c r="BB24" s="39"/>
      <c r="BC24" s="140"/>
      <c r="BD24" s="141"/>
      <c r="BE24" s="141"/>
      <c r="BF24" s="142"/>
      <c r="BG24" s="143"/>
      <c r="BH24" s="321"/>
      <c r="BI24" s="144"/>
      <c r="BJ24" s="28"/>
      <c r="BK24" s="28"/>
      <c r="BL24" s="26"/>
      <c r="BM24" s="26"/>
      <c r="BN24" s="26"/>
      <c r="BO24" s="26"/>
      <c r="BP24" s="148"/>
      <c r="BQ24" s="29"/>
      <c r="BR24" s="29"/>
      <c r="BS24" s="24"/>
      <c r="BT24" s="24"/>
      <c r="BU24" s="24"/>
      <c r="BV24" s="24"/>
      <c r="BW24" s="148"/>
      <c r="BX24" s="29"/>
      <c r="BY24" s="29"/>
      <c r="BZ24" s="24"/>
      <c r="CA24" s="24"/>
      <c r="CB24" s="24"/>
      <c r="CC24" s="24"/>
      <c r="CD24" s="148"/>
      <c r="CE24" s="28"/>
      <c r="CF24" s="28"/>
      <c r="CG24" s="26"/>
      <c r="CH24" s="26"/>
      <c r="CI24" s="26"/>
      <c r="CJ24" s="26"/>
      <c r="CK24" s="148"/>
      <c r="CL24" s="29"/>
      <c r="CM24" s="29"/>
      <c r="CN24" s="24"/>
      <c r="CO24" s="24"/>
      <c r="CP24" s="24"/>
      <c r="CQ24" s="24"/>
      <c r="CR24" s="148"/>
      <c r="CS24" s="29"/>
      <c r="CT24" s="29"/>
      <c r="CU24" s="24"/>
      <c r="CV24" s="24"/>
      <c r="CW24" s="24"/>
      <c r="CX24" s="24"/>
      <c r="CY24" s="148"/>
    </row>
    <row r="25" spans="1:103">
      <c r="A25" s="435"/>
      <c r="C25" s="323" t="s">
        <v>90</v>
      </c>
      <c r="D25" s="338">
        <f t="shared" si="17"/>
        <v>23</v>
      </c>
      <c r="E25" s="466" t="str">
        <f t="shared" si="8"/>
        <v/>
      </c>
      <c r="Z25" s="116"/>
      <c r="AH25" s="23"/>
      <c r="AI25" s="141"/>
      <c r="AJ25" s="134"/>
      <c r="AK25" s="134"/>
      <c r="AL25" s="134"/>
      <c r="AM25" s="134"/>
      <c r="AN25" s="136">
        <f t="shared" si="9"/>
        <v>491</v>
      </c>
      <c r="AO25" s="137">
        <v>23</v>
      </c>
      <c r="AP25" s="320"/>
      <c r="AQ25" s="37"/>
      <c r="AR25" s="37"/>
      <c r="AS25" s="38"/>
      <c r="AT25" s="38"/>
      <c r="AU25" s="38"/>
      <c r="AV25" s="38"/>
      <c r="AW25" s="139"/>
      <c r="AX25" s="139"/>
      <c r="AY25" s="39"/>
      <c r="AZ25" s="39"/>
      <c r="BA25" s="39"/>
      <c r="BB25" s="39"/>
      <c r="BC25" s="140"/>
      <c r="BD25" s="141"/>
      <c r="BE25" s="141"/>
      <c r="BF25" s="142"/>
      <c r="BG25" s="143"/>
      <c r="BH25" s="321"/>
      <c r="BI25" s="144"/>
      <c r="BJ25" s="28"/>
      <c r="BK25" s="28"/>
      <c r="BL25" s="26"/>
      <c r="BM25" s="26"/>
      <c r="BN25" s="26"/>
      <c r="BO25" s="26"/>
      <c r="BP25" s="148"/>
      <c r="BQ25" s="29"/>
      <c r="BR25" s="29"/>
      <c r="BS25" s="24"/>
      <c r="BT25" s="24"/>
      <c r="BU25" s="24"/>
      <c r="BV25" s="24"/>
      <c r="BW25" s="148"/>
      <c r="BX25" s="29"/>
      <c r="BY25" s="29"/>
      <c r="BZ25" s="24"/>
      <c r="CA25" s="24"/>
      <c r="CB25" s="24"/>
      <c r="CC25" s="24"/>
      <c r="CD25" s="148"/>
      <c r="CE25" s="28"/>
      <c r="CF25" s="28"/>
      <c r="CG25" s="26"/>
      <c r="CH25" s="26"/>
      <c r="CI25" s="26"/>
      <c r="CJ25" s="26"/>
      <c r="CK25" s="148"/>
      <c r="CL25" s="29"/>
      <c r="CM25" s="29"/>
      <c r="CN25" s="24"/>
      <c r="CO25" s="24"/>
      <c r="CP25" s="24"/>
      <c r="CQ25" s="24"/>
      <c r="CR25" s="148"/>
      <c r="CS25" s="29"/>
      <c r="CT25" s="29"/>
      <c r="CU25" s="24"/>
      <c r="CV25" s="24"/>
      <c r="CW25" s="24"/>
      <c r="CX25" s="24"/>
      <c r="CY25" s="148"/>
    </row>
    <row r="26" spans="1:103">
      <c r="A26" s="435"/>
      <c r="C26" s="323" t="s">
        <v>90</v>
      </c>
      <c r="D26" s="338">
        <f t="shared" si="17"/>
        <v>24</v>
      </c>
      <c r="E26" s="466" t="str">
        <f t="shared" si="8"/>
        <v/>
      </c>
      <c r="Z26" s="116"/>
      <c r="AH26" s="23"/>
      <c r="AI26" s="141"/>
      <c r="AJ26" s="134"/>
      <c r="AK26" s="134"/>
      <c r="AL26" s="134"/>
      <c r="AM26" s="134"/>
      <c r="AN26" s="136">
        <f t="shared" si="9"/>
        <v>511</v>
      </c>
      <c r="AO26" s="137">
        <v>24</v>
      </c>
      <c r="AP26" s="320"/>
      <c r="AQ26" s="37"/>
      <c r="AR26" s="37"/>
      <c r="AS26" s="38"/>
      <c r="AT26" s="38"/>
      <c r="AU26" s="38"/>
      <c r="AV26" s="38"/>
      <c r="AW26" s="139"/>
      <c r="AX26" s="139"/>
      <c r="AY26" s="39"/>
      <c r="AZ26" s="39"/>
      <c r="BA26" s="39"/>
      <c r="BB26" s="39"/>
      <c r="BC26" s="140"/>
      <c r="BD26" s="141"/>
      <c r="BE26" s="141"/>
      <c r="BF26" s="142"/>
      <c r="BG26" s="143"/>
      <c r="BH26" s="321"/>
      <c r="BI26" s="144"/>
      <c r="BJ26" s="28"/>
      <c r="BK26" s="28"/>
      <c r="BL26" s="26"/>
      <c r="BM26" s="26"/>
      <c r="BN26" s="26"/>
      <c r="BO26" s="26"/>
      <c r="BP26" s="148"/>
      <c r="BQ26" s="29"/>
      <c r="BR26" s="29"/>
      <c r="BS26" s="24"/>
      <c r="BT26" s="24"/>
      <c r="BU26" s="24"/>
      <c r="BV26" s="24"/>
      <c r="BW26" s="148"/>
      <c r="BX26" s="29"/>
      <c r="BY26" s="29"/>
      <c r="BZ26" s="24"/>
      <c r="CA26" s="24"/>
      <c r="CB26" s="24"/>
      <c r="CC26" s="24"/>
      <c r="CD26" s="148"/>
      <c r="CE26" s="28"/>
      <c r="CF26" s="28"/>
      <c r="CG26" s="26"/>
      <c r="CH26" s="26"/>
      <c r="CI26" s="26"/>
      <c r="CJ26" s="26"/>
      <c r="CK26" s="148"/>
      <c r="CL26" s="29"/>
      <c r="CM26" s="29"/>
      <c r="CN26" s="24"/>
      <c r="CO26" s="24"/>
      <c r="CP26" s="24"/>
      <c r="CQ26" s="24"/>
      <c r="CR26" s="148"/>
      <c r="CS26" s="29"/>
      <c r="CT26" s="29"/>
      <c r="CU26" s="24"/>
      <c r="CV26" s="24"/>
      <c r="CW26" s="24"/>
      <c r="CX26" s="24"/>
      <c r="CY26" s="148"/>
    </row>
    <row r="27" spans="1:103">
      <c r="A27" s="435"/>
      <c r="C27" s="323" t="s">
        <v>90</v>
      </c>
      <c r="D27" s="338">
        <f t="shared" si="17"/>
        <v>25</v>
      </c>
      <c r="E27" s="466" t="str">
        <f t="shared" si="8"/>
        <v/>
      </c>
      <c r="Z27" s="116"/>
      <c r="AH27" s="23"/>
      <c r="AI27" s="141"/>
      <c r="AJ27" s="134"/>
      <c r="AK27" s="134"/>
      <c r="AL27" s="134"/>
      <c r="AM27" s="134"/>
      <c r="AN27" s="136">
        <f t="shared" si="9"/>
        <v>531</v>
      </c>
      <c r="AO27" s="137">
        <v>25</v>
      </c>
      <c r="AP27" s="320"/>
      <c r="BC27" s="140"/>
      <c r="BH27" s="213"/>
      <c r="BP27" s="14"/>
      <c r="BW27" s="14"/>
      <c r="CD27" s="14"/>
      <c r="CK27" s="14"/>
      <c r="CR27" s="14"/>
      <c r="CY27" s="14"/>
    </row>
    <row r="28" spans="1:103">
      <c r="A28" s="435"/>
      <c r="C28" s="323" t="s">
        <v>90</v>
      </c>
      <c r="D28" s="338">
        <f t="shared" si="17"/>
        <v>26</v>
      </c>
      <c r="E28" s="466" t="str">
        <f t="shared" si="8"/>
        <v/>
      </c>
      <c r="AH28" s="23"/>
      <c r="AI28" s="141"/>
      <c r="AJ28" s="134"/>
      <c r="AK28" s="134"/>
      <c r="AL28" s="134"/>
      <c r="AM28" s="134"/>
      <c r="AN28" s="136">
        <f t="shared" si="9"/>
        <v>551</v>
      </c>
      <c r="AO28" s="137">
        <v>26</v>
      </c>
      <c r="AP28" s="320"/>
      <c r="BC28" s="140"/>
      <c r="BH28" s="213"/>
      <c r="BP28" s="14"/>
      <c r="BW28" s="14"/>
      <c r="CD28" s="14"/>
      <c r="CK28" s="14"/>
      <c r="CR28" s="14"/>
      <c r="CY28" s="14"/>
    </row>
    <row r="29" spans="1:103">
      <c r="A29" s="435"/>
      <c r="C29" s="323" t="s">
        <v>90</v>
      </c>
      <c r="D29" s="338">
        <f t="shared" si="17"/>
        <v>27</v>
      </c>
      <c r="E29" s="466" t="str">
        <f t="shared" si="8"/>
        <v/>
      </c>
      <c r="AN29" s="136">
        <f t="shared" si="9"/>
        <v>571</v>
      </c>
      <c r="AO29" s="137">
        <v>27</v>
      </c>
      <c r="AP29" s="320"/>
      <c r="AQ29" s="116"/>
      <c r="AR29" s="116"/>
      <c r="AS29" s="116"/>
      <c r="AT29" s="116"/>
      <c r="AU29" s="116"/>
      <c r="AV29" s="116"/>
      <c r="AW29" s="116"/>
      <c r="AX29" s="116"/>
      <c r="BC29" s="140"/>
      <c r="BD29" s="116"/>
      <c r="BE29" s="116"/>
      <c r="BF29" s="116"/>
      <c r="BG29" s="116"/>
      <c r="BH29" s="322"/>
      <c r="BJ29" s="116"/>
      <c r="BK29" s="116"/>
      <c r="BL29" s="116"/>
      <c r="BM29" s="116"/>
      <c r="BN29" s="116"/>
      <c r="BO29" s="116"/>
      <c r="BP29" s="14"/>
      <c r="BQ29" s="116"/>
      <c r="BR29" s="116"/>
      <c r="BW29" s="14"/>
      <c r="BX29" s="116"/>
      <c r="BY29" s="116"/>
      <c r="CD29" s="14"/>
      <c r="CE29" s="116"/>
      <c r="CF29" s="116"/>
      <c r="CG29" s="116"/>
      <c r="CH29" s="116"/>
      <c r="CI29" s="116"/>
      <c r="CJ29" s="116"/>
      <c r="CK29" s="14"/>
      <c r="CL29" s="116"/>
      <c r="CM29" s="116"/>
      <c r="CR29" s="14"/>
      <c r="CS29" s="116"/>
      <c r="CT29" s="116"/>
      <c r="CY29" s="14"/>
    </row>
    <row r="30" spans="1:103">
      <c r="A30" s="435"/>
      <c r="C30" s="323" t="s">
        <v>90</v>
      </c>
      <c r="D30" s="338">
        <f t="shared" si="17"/>
        <v>28</v>
      </c>
      <c r="E30" s="466" t="str">
        <f t="shared" si="8"/>
        <v/>
      </c>
      <c r="AN30" s="136">
        <f t="shared" si="9"/>
        <v>591</v>
      </c>
      <c r="AO30" s="137">
        <v>28</v>
      </c>
      <c r="AP30" s="320"/>
      <c r="BC30" s="140"/>
      <c r="BH30" s="213"/>
      <c r="BP30" s="14"/>
      <c r="BW30" s="14"/>
      <c r="CD30" s="14"/>
      <c r="CK30" s="14"/>
      <c r="CR30" s="14"/>
      <c r="CY30" s="14"/>
    </row>
    <row r="31" spans="1:103">
      <c r="A31" s="435"/>
      <c r="C31" s="323" t="s">
        <v>90</v>
      </c>
      <c r="D31" s="338">
        <f t="shared" si="17"/>
        <v>29</v>
      </c>
      <c r="E31" s="466" t="str">
        <f t="shared" si="8"/>
        <v/>
      </c>
      <c r="AN31" s="136">
        <f t="shared" si="9"/>
        <v>611</v>
      </c>
      <c r="AO31" s="137">
        <v>29</v>
      </c>
      <c r="AP31" s="320"/>
      <c r="BC31" s="140"/>
      <c r="BH31" s="213"/>
      <c r="BP31" s="14"/>
      <c r="BW31" s="14"/>
      <c r="CD31" s="14"/>
      <c r="CK31" s="14"/>
      <c r="CR31" s="14"/>
      <c r="CY31" s="14"/>
    </row>
    <row r="32" spans="1:103" ht="13.8" thickBot="1">
      <c r="A32" s="435"/>
      <c r="B32" s="18" t="str">
        <f>F1</f>
        <v>CCP</v>
      </c>
      <c r="C32" s="323" t="s">
        <v>90</v>
      </c>
      <c r="D32" s="338">
        <f t="shared" si="17"/>
        <v>30</v>
      </c>
      <c r="E32" s="466" t="str">
        <f t="shared" si="8"/>
        <v/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9"/>
        <v>631</v>
      </c>
      <c r="AO32" s="137">
        <v>30</v>
      </c>
      <c r="AP32" s="324"/>
      <c r="AQ32" s="37"/>
      <c r="AR32" s="37"/>
      <c r="AS32" s="38"/>
      <c r="AT32" s="38"/>
      <c r="AU32" s="38"/>
      <c r="AV32" s="38"/>
      <c r="AW32" s="139"/>
      <c r="AX32" s="139"/>
      <c r="AY32" s="39"/>
      <c r="AZ32" s="39"/>
      <c r="BA32" s="39"/>
      <c r="BB32" s="39"/>
      <c r="BC32" s="140"/>
      <c r="BD32" s="141"/>
      <c r="BE32" s="314"/>
      <c r="BF32" s="142"/>
      <c r="BG32" s="404"/>
      <c r="BH32" s="321"/>
      <c r="BI32" s="144"/>
      <c r="BJ32" s="28"/>
      <c r="BK32" s="28"/>
      <c r="BL32" s="26"/>
      <c r="BM32" s="26"/>
      <c r="BN32" s="26"/>
      <c r="BO32" s="26"/>
      <c r="BP32" s="148"/>
      <c r="BQ32" s="29"/>
      <c r="BR32" s="29"/>
      <c r="BS32" s="24"/>
      <c r="BT32" s="24"/>
      <c r="BU32" s="24"/>
      <c r="BV32" s="24"/>
      <c r="BW32" s="148"/>
      <c r="BX32" s="29"/>
      <c r="BY32" s="29"/>
      <c r="BZ32" s="24"/>
      <c r="CA32" s="24"/>
      <c r="CB32" s="24"/>
      <c r="CC32" s="24"/>
      <c r="CD32" s="148"/>
      <c r="CE32" s="28"/>
      <c r="CF32" s="28"/>
      <c r="CG32" s="26"/>
      <c r="CH32" s="26"/>
      <c r="CI32" s="26"/>
      <c r="CJ32" s="26"/>
      <c r="CK32" s="148"/>
      <c r="CL32" s="29"/>
      <c r="CM32" s="29"/>
      <c r="CN32" s="24"/>
      <c r="CO32" s="24"/>
      <c r="CP32" s="24"/>
      <c r="CQ32" s="24"/>
      <c r="CR32" s="148"/>
      <c r="CS32" s="29"/>
      <c r="CT32" s="29"/>
      <c r="CU32" s="24"/>
      <c r="CV32" s="24"/>
      <c r="CW32" s="24"/>
      <c r="CX32" s="24"/>
      <c r="CY32" s="148"/>
    </row>
    <row r="33" spans="1:103">
      <c r="A33" s="461" t="s">
        <v>125</v>
      </c>
      <c r="B33" s="162">
        <f>B1</f>
        <v>0</v>
      </c>
      <c r="C33" s="163">
        <f>$E$1</f>
        <v>0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6" t="str">
        <f>AJ$1</f>
        <v>R</v>
      </c>
      <c r="I33" s="31" t="str">
        <f t="shared" ref="I33:K33" si="18">AK$1</f>
        <v>1Omy</v>
      </c>
      <c r="J33" s="32" t="str">
        <f t="shared" si="18"/>
        <v>2U</v>
      </c>
      <c r="K33" s="33" t="str">
        <f t="shared" si="18"/>
        <v>3Rot</v>
      </c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N33" s="467"/>
      <c r="AO33" s="467" t="s">
        <v>120</v>
      </c>
      <c r="AP33" s="457">
        <f>$E$1</f>
        <v>0</v>
      </c>
      <c r="AQ33" s="47" t="s">
        <v>5</v>
      </c>
      <c r="AR33" s="47" t="s">
        <v>4</v>
      </c>
      <c r="AS33" s="506" t="str">
        <f t="shared" ref="AS33:AV33" si="19">AS1</f>
        <v>R</v>
      </c>
      <c r="AT33" s="31" t="str">
        <f t="shared" si="19"/>
        <v>1Omy</v>
      </c>
      <c r="AU33" s="32" t="str">
        <f t="shared" si="19"/>
        <v>2U</v>
      </c>
      <c r="AV33" s="33" t="str">
        <f t="shared" si="19"/>
        <v>3Rot</v>
      </c>
      <c r="AW33" s="48" t="s">
        <v>23</v>
      </c>
      <c r="AX33" s="48" t="s">
        <v>6</v>
      </c>
      <c r="AY33" s="506" t="str">
        <f t="shared" ref="AY33:BB33" si="20">AY1</f>
        <v>R</v>
      </c>
      <c r="AZ33" s="31" t="str">
        <f t="shared" si="20"/>
        <v>1Omy</v>
      </c>
      <c r="BA33" s="32" t="str">
        <f t="shared" si="20"/>
        <v>2U</v>
      </c>
      <c r="BB33" s="33" t="str">
        <f t="shared" si="20"/>
        <v>3Rot</v>
      </c>
      <c r="BC33" s="167"/>
      <c r="BE33" s="379"/>
      <c r="BF33" s="174"/>
      <c r="BG33" s="452">
        <f>$E$1</f>
        <v>0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6" t="str">
        <f t="shared" ref="BL33:BO33" si="21">BL1</f>
        <v>R</v>
      </c>
      <c r="BM33" s="31" t="str">
        <f t="shared" si="21"/>
        <v>1Omy</v>
      </c>
      <c r="BN33" s="32" t="str">
        <f t="shared" si="21"/>
        <v>2U</v>
      </c>
      <c r="BO33" s="33" t="str">
        <f t="shared" si="21"/>
        <v>3Rot</v>
      </c>
      <c r="BP33" s="452">
        <f>$E$1</f>
        <v>0</v>
      </c>
      <c r="BQ33" s="35" t="str">
        <f>BQ3</f>
        <v>Flux control ratio</v>
      </c>
      <c r="BR33" s="34" t="str">
        <f>BR3</f>
        <v>FCR, relative</v>
      </c>
      <c r="BS33" s="506" t="str">
        <f t="shared" ref="BS33:BV33" si="22">BS1</f>
        <v>R</v>
      </c>
      <c r="BT33" s="31" t="str">
        <f t="shared" si="22"/>
        <v>1Omy</v>
      </c>
      <c r="BU33" s="32" t="str">
        <f t="shared" si="22"/>
        <v>2U</v>
      </c>
      <c r="BV33" s="33" t="str">
        <f t="shared" si="22"/>
        <v>3Rot</v>
      </c>
      <c r="BW33" s="452">
        <f>$E$1</f>
        <v>0</v>
      </c>
      <c r="BX33" s="34" t="str">
        <f>BX3</f>
        <v>Flux control factor</v>
      </c>
      <c r="BY33" s="34" t="str">
        <f>BY3</f>
        <v>FCF, relative</v>
      </c>
      <c r="BZ33" s="506" t="str">
        <f t="shared" ref="BZ33:CC33" si="23">BZ$1</f>
        <v>1-R/U</v>
      </c>
      <c r="CA33" s="31" t="str">
        <f t="shared" si="23"/>
        <v>1-Omy/R</v>
      </c>
      <c r="CB33" s="32" t="str">
        <f t="shared" si="23"/>
        <v>1-Omy/U</v>
      </c>
      <c r="CC33" s="33" t="str">
        <f t="shared" si="23"/>
        <v>1-ROX/U</v>
      </c>
      <c r="CD33" s="452">
        <f>$E$1</f>
        <v>0</v>
      </c>
      <c r="CE33" s="47" t="str">
        <f>CE3</f>
        <v>O2 flow per cells (mt: ROX-corr.)</v>
      </c>
      <c r="CF33" s="47" t="str">
        <f>CF3</f>
        <v>pmol/(s*Mill)</v>
      </c>
      <c r="CG33" s="506" t="str">
        <f t="shared" ref="CG33:CJ33" si="24">CG1</f>
        <v>R</v>
      </c>
      <c r="CH33" s="31" t="str">
        <f t="shared" si="24"/>
        <v>1Omy</v>
      </c>
      <c r="CI33" s="32" t="str">
        <f t="shared" si="24"/>
        <v>2U</v>
      </c>
      <c r="CJ33" s="33" t="str">
        <f t="shared" si="24"/>
        <v>3Rot</v>
      </c>
      <c r="CK33" s="452">
        <f>$E$1</f>
        <v>0</v>
      </c>
      <c r="CL33" s="49" t="str">
        <f>CL3</f>
        <v>FCR (mt:ROX-corr.)</v>
      </c>
      <c r="CM33" s="49" t="str">
        <f>CM3</f>
        <v>relative</v>
      </c>
      <c r="CN33" s="506" t="str">
        <f t="shared" ref="CN33:CQ33" si="25">CN1</f>
        <v>R</v>
      </c>
      <c r="CO33" s="31" t="str">
        <f t="shared" si="25"/>
        <v>1Omy</v>
      </c>
      <c r="CP33" s="32" t="str">
        <f t="shared" si="25"/>
        <v>2U</v>
      </c>
      <c r="CQ33" s="33" t="str">
        <f t="shared" si="25"/>
        <v>3Rot</v>
      </c>
      <c r="CR33" s="452">
        <f>$E$1</f>
        <v>0</v>
      </c>
      <c r="CS33" s="49" t="str">
        <f>CS3</f>
        <v>FCF(mt: ROX-corr.)</v>
      </c>
      <c r="CT33" s="49" t="str">
        <f>CT3</f>
        <v>relative</v>
      </c>
      <c r="CU33" s="506" t="str">
        <f t="shared" ref="CU33:CX33" si="26">CU$1</f>
        <v>1-R/U</v>
      </c>
      <c r="CV33" s="31" t="str">
        <f t="shared" si="26"/>
        <v>1-Omy/R</v>
      </c>
      <c r="CW33" s="32" t="str">
        <f t="shared" si="26"/>
        <v>1-Omy/U</v>
      </c>
      <c r="CX33" s="33" t="str">
        <f t="shared" si="26"/>
        <v>1-ROX/U</v>
      </c>
      <c r="CY33" s="452">
        <f>$E$1</f>
        <v>0</v>
      </c>
    </row>
    <row r="34" spans="1:103" ht="13.8">
      <c r="A34" s="435"/>
      <c r="B34" s="1"/>
      <c r="C34" s="1"/>
      <c r="D34" s="307" t="str">
        <f t="shared" ref="D34:D39" si="27">BG34</f>
        <v>Median</v>
      </c>
      <c r="E34" s="24">
        <f t="shared" ref="E34:E39" si="28">BI34</f>
        <v>2</v>
      </c>
      <c r="F34" s="376"/>
      <c r="G34" s="50"/>
      <c r="H34" s="26">
        <f t="shared" ref="H34:H39" si="29">BL34</f>
        <v>25.510132109090907</v>
      </c>
      <c r="I34" s="26">
        <f t="shared" ref="I34:I39" si="30">BM34</f>
        <v>8.0499643458092685</v>
      </c>
      <c r="J34" s="26">
        <f t="shared" ref="J34:K39" si="31">BN34</f>
        <v>62.223429978626235</v>
      </c>
      <c r="K34" s="26">
        <f t="shared" si="31"/>
        <v>1.9267895791583167</v>
      </c>
      <c r="U34" s="377"/>
      <c r="V34" s="377"/>
      <c r="W34" s="377"/>
      <c r="X34" s="377"/>
      <c r="Y34" s="377"/>
      <c r="Z34" s="378"/>
      <c r="AA34" s="379"/>
      <c r="AB34" s="379"/>
      <c r="AC34" s="379"/>
      <c r="AD34" s="379"/>
      <c r="AE34" s="379"/>
      <c r="AF34" s="379"/>
      <c r="AG34" s="379"/>
      <c r="AH34" s="380"/>
      <c r="AI34" s="381"/>
      <c r="AJ34" s="382"/>
      <c r="AK34" s="382"/>
      <c r="AL34" s="382"/>
      <c r="AM34" s="382"/>
      <c r="AN34" s="383"/>
      <c r="AO34" s="383" t="s">
        <v>94</v>
      </c>
      <c r="AP34" s="452">
        <f>$E$1</f>
        <v>0</v>
      </c>
      <c r="AQ34" s="37" t="s">
        <v>5</v>
      </c>
      <c r="AR34" s="174" t="s">
        <v>34</v>
      </c>
      <c r="AS34" s="26">
        <f t="array" ref="AS34">MEDIAN(IF(ISNUMBER(AS3:AS32),AS3:AS32))</f>
        <v>27.768536000000001</v>
      </c>
      <c r="AT34" s="26">
        <f t="array" ref="AT34">MEDIAN(IF(ISNUMBER(AT3:AT32),AT3:AT32))</f>
        <v>8.8505333000000004</v>
      </c>
      <c r="AU34" s="26">
        <f t="array" ref="AU34">MEDIAN(IF(ISNUMBER(AU3:AU32),AU3:AU32))</f>
        <v>66.277894000000003</v>
      </c>
      <c r="AV34" s="26">
        <f t="array" ref="AV34">MEDIAN(IF(ISNUMBER(AV3:AV32),AV3:AV32))</f>
        <v>1.922936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122.4932</v>
      </c>
      <c r="AZ34" s="348">
        <f t="array" ref="AZ34">MEDIAN(IF(ISNUMBER(AZ3:AZ32),AZ3:AZ32))</f>
        <v>117.6909</v>
      </c>
      <c r="BA34" s="348">
        <f t="array" ref="BA34">MEDIAN(IF(ISNUMBER(BA3:BA32),BA3:BA32))</f>
        <v>58.864699999999999</v>
      </c>
      <c r="BB34" s="348">
        <f t="array" ref="BB34">MEDIAN(IF(ISNUMBER(BB3:BB32),BB3:BB32))</f>
        <v>63.5627</v>
      </c>
      <c r="BC34" s="384"/>
      <c r="BD34" s="314"/>
      <c r="BE34" s="314"/>
      <c r="BF34" s="174"/>
      <c r="BG34" s="296" t="str">
        <f t="shared" ref="BG34:BG39" si="32">$AR34</f>
        <v>Median</v>
      </c>
      <c r="BH34" s="385">
        <f>BI37</f>
        <v>3</v>
      </c>
      <c r="BI34" s="346">
        <f t="array" ref="BI34">MEDIAN(IF(ISNUMBER(BI3:BI32),BI3:BI32))</f>
        <v>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25.510132109090907</v>
      </c>
      <c r="BM34" s="26">
        <f t="array" ref="BM34">MEDIAN(IF(ISNUMBER(BM3:BM32),BM3:BM32))</f>
        <v>8.0499643458092685</v>
      </c>
      <c r="BN34" s="26">
        <f t="array" ref="BN34">MEDIAN(IF(ISNUMBER(BN3:BN32),BN3:BN32))</f>
        <v>62.223429978626235</v>
      </c>
      <c r="BO34" s="26">
        <f t="array" ref="BO34">MEDIAN(IF(ISNUMBER(BO3:BO32),BO3:BO32))</f>
        <v>1.9267895791583167</v>
      </c>
      <c r="BP34" s="452">
        <f>$E$1</f>
        <v>0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0.41187007573553508</v>
      </c>
      <c r="BT34" s="312">
        <f t="array" ref="BT34">MEDIAN(IF(ISNUMBER(BT3:BT32),BT3:BT32))</f>
        <v>0.12999967190259845</v>
      </c>
      <c r="BU34" s="312">
        <f t="array" ref="BU34">MEDIAN(IF(ISNUMBER(BU3:BU32),BU3:BU32))</f>
        <v>1</v>
      </c>
      <c r="BV34" s="312">
        <f t="array" ref="BV34">MEDIAN(IF(ISNUMBER(BV3:BV32),BV3:BV32))</f>
        <v>2.9042304657102686E-2</v>
      </c>
      <c r="BW34" s="452">
        <f>$E$1</f>
        <v>0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0.58812992426446487</v>
      </c>
      <c r="CA34" s="312">
        <f t="array" ref="CA34">MEDIAN(IF(ISNUMBER(CA3:CA32),CA3:CA32))</f>
        <v>0.68444759417560785</v>
      </c>
      <c r="CB34" s="312">
        <f t="array" ref="CB34">MEDIAN(IF(ISNUMBER(CB3:CB32),CB3:CB32))</f>
        <v>0.87000032809740158</v>
      </c>
      <c r="CC34" s="312">
        <f t="array" ref="CC34">MEDIAN(IF(ISNUMBER(CC3:CC32),CC3:CC32))</f>
        <v>0.97095769534289733</v>
      </c>
      <c r="CD34" s="452">
        <f>$E$1</f>
        <v>0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24.067446095522058</v>
      </c>
      <c r="CH34" s="26">
        <f t="array" ref="CH34">MEDIAN(IF(ISNUMBER(CH3:CH32),CH3:CH32))</f>
        <v>6.6072783322404183</v>
      </c>
      <c r="CI34" s="26">
        <f t="array" ref="CI34">MEDIAN(IF(ISNUMBER(CI3:CI32),CI3:CI32))</f>
        <v>60.780743965057383</v>
      </c>
      <c r="CJ34" s="26">
        <f t="array" ref="CJ34">MEDIAN(IF(ISNUMBER(CJ3:CJ32),CJ3:CJ32))</f>
        <v>0</v>
      </c>
      <c r="CK34" s="452">
        <f>$E$1</f>
        <v>0</v>
      </c>
      <c r="CL34" s="314" t="str">
        <f>CL33</f>
        <v>FCR (mt:ROX-corr.)</v>
      </c>
      <c r="CM34" s="174" t="str">
        <f>$AR34</f>
        <v>Median</v>
      </c>
      <c r="CN34" s="312">
        <f t="array" ref="CN34">MEDIAN(IF(ISNUMBER(CN3:CN32),CN3:CN32))</f>
        <v>0.39793618365157035</v>
      </c>
      <c r="CO34" s="312">
        <f t="array" ref="CO34">MEDIAN(IF(ISNUMBER(CO3:CO32),CO3:CO32))</f>
        <v>0.10951947763315545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0</v>
      </c>
      <c r="CS34" s="314" t="str">
        <f>CS33</f>
        <v>FCF(mt: ROX-corr.)</v>
      </c>
      <c r="CT34" s="174" t="str">
        <f>$AR34</f>
        <v>Median</v>
      </c>
      <c r="CU34" s="312">
        <f t="array" ref="CU34">MEDIAN(IF(ISNUMBER(CU3:CU32),CU3:CU32))</f>
        <v>0.60206381634842965</v>
      </c>
      <c r="CV34" s="312">
        <f t="array" ref="CV34">MEDIAN(IF(ISNUMBER(CV3:CV32),CV3:CV32))</f>
        <v>0.72569595182853541</v>
      </c>
      <c r="CW34" s="312">
        <f t="array" ref="CW34">MEDIAN(IF(ISNUMBER(CW3:CW32),CW3:CW32))</f>
        <v>0.89048052236684461</v>
      </c>
      <c r="CX34" s="312">
        <f t="array" ref="CX34">MEDIAN(IF(ISNUMBER(CX3:CX32),CX3:CX32))</f>
        <v>1</v>
      </c>
      <c r="CY34" s="452">
        <f>$E$1</f>
        <v>0</v>
      </c>
    </row>
    <row r="35" spans="1:103">
      <c r="A35" s="435"/>
      <c r="D35" s="307" t="str">
        <f t="shared" si="27"/>
        <v>Range</v>
      </c>
      <c r="E35" s="349">
        <f t="shared" si="28"/>
        <v>0.20000000000000018</v>
      </c>
      <c r="F35" s="287"/>
      <c r="G35" s="287"/>
      <c r="H35" s="26">
        <f t="shared" si="29"/>
        <v>2.4162836400000032</v>
      </c>
      <c r="I35" s="26">
        <f t="shared" si="30"/>
        <v>1.8864438219109552</v>
      </c>
      <c r="J35" s="26">
        <f t="shared" si="31"/>
        <v>4.2485223765835087</v>
      </c>
      <c r="K35" s="26">
        <f t="shared" si="31"/>
        <v>1.3090740505851195</v>
      </c>
      <c r="U35" s="287"/>
      <c r="V35" s="287"/>
      <c r="W35" s="287"/>
      <c r="X35" s="287"/>
      <c r="Y35" s="287"/>
      <c r="Z35" s="378"/>
      <c r="AA35" s="379"/>
      <c r="AB35" s="379"/>
      <c r="AC35" s="379"/>
      <c r="AD35" s="379"/>
      <c r="AE35" s="379"/>
      <c r="AF35" s="379"/>
      <c r="AG35" s="379"/>
      <c r="AH35" s="379"/>
      <c r="AI35" s="379"/>
      <c r="AJ35" s="287"/>
      <c r="AK35" s="287"/>
      <c r="AL35" s="287"/>
      <c r="AM35" s="287"/>
      <c r="AN35" s="159"/>
      <c r="AO35" s="384"/>
      <c r="AP35" s="386"/>
      <c r="AQ35" s="228"/>
      <c r="AR35" s="228" t="s">
        <v>82</v>
      </c>
      <c r="AS35" s="387">
        <f t="array" ref="AS35">MAX(IF(ISNUMBER(AS3:AS32),AS3:AS32))-MIN(IF(ISNUMBER(AS3:AS32),AS3:AS32))</f>
        <v>2.7088929600000036</v>
      </c>
      <c r="AT35" s="387">
        <f t="array" ref="AT35">MAX(IF(ISNUMBER(AT3:AT32),AT3:AT32))-MIN(IF(ISNUMBER(AT3:AT32),AT3:AT32))</f>
        <v>1.8855005999999994</v>
      </c>
      <c r="AU35" s="387">
        <f t="array" ref="AU35">MAX(IF(ISNUMBER(AU3:AU32),AU3:AU32))-MIN(IF(ISNUMBER(AU3:AU32),AU3:AU32))</f>
        <v>6.1094679800000051</v>
      </c>
      <c r="AV35" s="387">
        <f t="array" ref="AV35">MAX(IF(ISNUMBER(AV3:AV32),AV3:AV32))-MIN(IF(ISNUMBER(AV3:AV32),AV3:AV32))</f>
        <v>1.1667504000000002</v>
      </c>
      <c r="AW35" s="379"/>
      <c r="AX35" s="379"/>
      <c r="AY35" s="387">
        <f t="array" ref="AY35">MAX(IF(ISNUMBER(AY3:AY32),AY3:AY32))-MIN(IF(ISNUMBER(AY3:AY32),AY3:AY32))</f>
        <v>19.233200000000011</v>
      </c>
      <c r="AZ35" s="387">
        <f t="array" ref="AZ35">MAX(IF(ISNUMBER(AZ3:AZ32),AZ3:AZ32))-MIN(IF(ISNUMBER(AZ3:AZ32),AZ3:AZ32))</f>
        <v>20.94905</v>
      </c>
      <c r="BA35" s="387">
        <f t="array" ref="BA35">MAX(IF(ISNUMBER(BA3:BA32),BA3:BA32))-MIN(IF(ISNUMBER(BA3:BA32),BA3:BA32))</f>
        <v>24.372800000000005</v>
      </c>
      <c r="BB35" s="387">
        <f t="array" ref="BB35">MAX(IF(ISNUMBER(BB3:BB32),BB3:BB32))-MIN(IF(ISNUMBER(BB3:BB32),BB3:BB32))</f>
        <v>38.967299999999994</v>
      </c>
      <c r="BC35" s="388"/>
      <c r="BD35" s="379"/>
      <c r="BE35" s="379"/>
      <c r="BF35" s="228"/>
      <c r="BG35" s="296" t="str">
        <f t="shared" si="32"/>
        <v>Range</v>
      </c>
      <c r="BH35" s="389"/>
      <c r="BI35" s="390">
        <f t="array" ref="BI35">MAX(IF(ISNUMBER(BI3:BI32),BI3:BI32))-MIN(IF(ISNUMBER(BI3:BI32),BI3:BI32))</f>
        <v>0.20000000000000018</v>
      </c>
      <c r="BJ35" s="379"/>
      <c r="BK35" s="379"/>
      <c r="BL35" s="387">
        <f t="array" ref="BL35">MAX(IF(ISNUMBER(BL3:BL32),BL3:BL32))-MIN(IF(ISNUMBER(BL3:BL32),BL3:BL32))</f>
        <v>2.4162836400000032</v>
      </c>
      <c r="BM35" s="387">
        <f t="array" ref="BM35">MAX(IF(ISNUMBER(BM3:BM32),BM3:BM32))-MIN(IF(ISNUMBER(BM3:BM32),BM3:BM32))</f>
        <v>1.8864438219109552</v>
      </c>
      <c r="BN35" s="387">
        <f t="array" ref="BN35">MAX(IF(ISNUMBER(BN3:BN32),BN3:BN32))-MIN(IF(ISNUMBER(BN3:BN32),BN3:BN32))</f>
        <v>4.2485223765835087</v>
      </c>
      <c r="BO35" s="387">
        <f t="array" ref="BO35">MAX(IF(ISNUMBER(BO3:BO32),BO3:BO32))-MIN(IF(ISNUMBER(BO3:BO32),BO3:BO32))</f>
        <v>1.3090740505851195</v>
      </c>
      <c r="BP35" s="391"/>
      <c r="BQ35" s="379"/>
      <c r="BR35" s="379"/>
      <c r="BS35" s="392">
        <f t="array" ref="BS35">MAX(IF(ISNUMBER(BS3:BS32),BS3:BS32))-MIN(IF(ISNUMBER(BS3:BS32),BS3:BS32))</f>
        <v>1.0290704423483565E-2</v>
      </c>
      <c r="BT35" s="392">
        <f t="array" ref="BT35">MAX(IF(ISNUMBER(BT3:BT32),BT3:BT32))-MIN(IF(ISNUMBER(BT3:BT32),BT3:BT32))</f>
        <v>2.0649022094320929E-2</v>
      </c>
      <c r="BU35" s="392">
        <f t="array" ref="BU35">MAX(IF(ISNUMBER(BU3:BU32),BU3:BU32))-MIN(IF(ISNUMBER(BU3:BU32),BU3:BU32))</f>
        <v>0</v>
      </c>
      <c r="BV35" s="392">
        <f t="array" ref="BV35">MAX(IF(ISNUMBER(BV3:BV32),BV3:BV32))-MIN(IF(ISNUMBER(BV3:BV32),BV3:BV32))</f>
        <v>2.1335551550275209E-2</v>
      </c>
      <c r="BW35" s="391"/>
      <c r="BX35" s="379"/>
      <c r="BY35" s="379"/>
      <c r="BZ35" s="392">
        <f t="array" ref="BZ35">MAX(IF(ISNUMBER(BZ3:BZ32),BZ3:BZ32))-MIN(IF(ISNUMBER(BZ3:BZ32),BZ3:BZ32))</f>
        <v>1.0290704423483565E-2</v>
      </c>
      <c r="CA35" s="392">
        <f t="array" ref="CA35">MAX(IF(ISNUMBER(CA3:CA32),CA3:CA32))-MIN(IF(ISNUMBER(CA3:CA32),CA3:CA32))</f>
        <v>4.2034679070781844E-2</v>
      </c>
      <c r="CB35" s="392">
        <f t="array" ref="CB35">MAX(IF(ISNUMBER(CB3:CB32),CB3:CB32))-MIN(IF(ISNUMBER(CB3:CB32),CB3:CB32))</f>
        <v>2.0649022094320957E-2</v>
      </c>
      <c r="CC35" s="392">
        <f t="array" ref="CC35">MAX(IF(ISNUMBER(CC3:CC32),CC3:CC32))-MIN(IF(ISNUMBER(CC3:CC32),CC3:CC32))</f>
        <v>2.1335551550275222E-2</v>
      </c>
      <c r="CD35" s="393"/>
      <c r="CE35" s="379"/>
      <c r="CF35" s="379"/>
      <c r="CG35" s="387">
        <f t="array" ref="CG35">MAX(IF(ISNUMBER(CG3:CG32),CG3:CG32))-MIN(IF(ISNUMBER(CG3:CG32),CG3:CG32))</f>
        <v>3.2412541249956526</v>
      </c>
      <c r="CH35" s="387">
        <f t="array" ref="CH35">MAX(IF(ISNUMBER(CH3:CH32),CH3:CH32))-MIN(IF(ISNUMBER(CH3:CH32),CH3:CH32))</f>
        <v>2.7114143069066072</v>
      </c>
      <c r="CI35" s="387">
        <f t="array" ref="CI35">MAX(IF(ISNUMBER(CI3:CI32),CI3:CI32))-MIN(IF(ISNUMBER(CI3:CI32),CI3:CI32))</f>
        <v>5.0734928615791688</v>
      </c>
      <c r="CJ35" s="387">
        <f t="array" ref="CJ35">MAX(IF(ISNUMBER(CJ3:CJ32),CJ3:CJ32))-MIN(IF(ISNUMBER(CJ3:CJ32),CJ3:CJ32))</f>
        <v>0</v>
      </c>
      <c r="CK35" s="391"/>
      <c r="CL35" s="379"/>
      <c r="CM35" s="379"/>
      <c r="CN35" s="392">
        <f t="array" ref="CN35">MAX(IF(ISNUMBER(CN3:CN32),CN3:CN32))-MIN(IF(ISNUMBER(CN3:CN32),CN3:CN32))</f>
        <v>2.0320330394027197E-2</v>
      </c>
      <c r="CO35" s="392">
        <f t="array" ref="CO35">MAX(IF(ISNUMBER(CO3:CO32),CO3:CO32))-MIN(IF(ISNUMBER(CO3:CO32),CO3:CO32))</f>
        <v>3.5687686405617841E-2</v>
      </c>
      <c r="CP35" s="392">
        <f t="array" ref="CP35">MAX(IF(ISNUMBER(CP3:CP32),CP3:CP32))-MIN(IF(ISNUMBER(CP3:CP32),CP3:CP32))</f>
        <v>0</v>
      </c>
      <c r="CQ35" s="392">
        <f t="array" ref="CQ35">MAX(IF(ISNUMBER(CQ3:CQ32),CQ3:CQ32))-MIN(IF(ISNUMBER(CQ3:CQ32),CQ3:CQ32))</f>
        <v>0</v>
      </c>
      <c r="CR35" s="391"/>
      <c r="CS35" s="379"/>
      <c r="CT35" s="379"/>
      <c r="CU35" s="392">
        <f t="array" ref="CU35">MAX(IF(ISNUMBER(CU3:CU32),CU3:CU32))-MIN(IF(ISNUMBER(CU3:CU32),CU3:CU32))</f>
        <v>2.0320330394027142E-2</v>
      </c>
      <c r="CV35" s="392">
        <f t="array" ref="CV35">MAX(IF(ISNUMBER(CV3:CV32),CV3:CV32))-MIN(IF(ISNUMBER(CV3:CV32),CV3:CV32))</f>
        <v>7.8153416286776856E-2</v>
      </c>
      <c r="CW35" s="392">
        <f t="array" ref="CW35">MAX(IF(ISNUMBER(CW3:CW32),CW3:CW32))-MIN(IF(ISNUMBER(CW3:CW32),CW3:CW32))</f>
        <v>3.5687686405617813E-2</v>
      </c>
      <c r="CX35" s="392">
        <f t="array" ref="CX35">MAX(IF(ISNUMBER(CX3:CX32),CX3:CX32))-MIN(IF(ISNUMBER(CX3:CX32),CX3:CX32))</f>
        <v>0</v>
      </c>
      <c r="CY35" s="391"/>
    </row>
    <row r="36" spans="1:103">
      <c r="A36" s="435"/>
      <c r="D36" s="307" t="str">
        <f t="shared" si="27"/>
        <v>Outlier index</v>
      </c>
      <c r="E36" s="349">
        <f t="shared" si="28"/>
        <v>-3.2786885245901745E-2</v>
      </c>
      <c r="F36" s="287"/>
      <c r="G36" s="287"/>
      <c r="H36" s="26">
        <f t="shared" si="29"/>
        <v>-2.7075358538945049E-2</v>
      </c>
      <c r="I36" s="26">
        <f t="shared" si="30"/>
        <v>-3.8118905150245061E-2</v>
      </c>
      <c r="J36" s="26">
        <f t="shared" si="31"/>
        <v>-2.1164790834375228E-2</v>
      </c>
      <c r="K36" s="26">
        <f t="shared" si="31"/>
        <v>-5.7280835106203139E-2</v>
      </c>
      <c r="U36" s="287"/>
      <c r="V36" s="287"/>
      <c r="W36" s="287"/>
      <c r="X36" s="287"/>
      <c r="Y36" s="287"/>
      <c r="Z36" s="378"/>
      <c r="AA36" s="379"/>
      <c r="AB36" s="379"/>
      <c r="AC36" s="379"/>
      <c r="AD36" s="379"/>
      <c r="AE36" s="379"/>
      <c r="AF36" s="379"/>
      <c r="AG36" s="379"/>
      <c r="AH36" s="379"/>
      <c r="AI36" s="379"/>
      <c r="AJ36" s="287"/>
      <c r="AK36" s="287"/>
      <c r="AL36" s="287"/>
      <c r="AM36" s="287"/>
      <c r="AN36" s="159"/>
      <c r="AO36" s="384"/>
      <c r="AP36" s="386"/>
      <c r="AQ36" s="228"/>
      <c r="AR36" s="228" t="s">
        <v>83</v>
      </c>
      <c r="AS36" s="392">
        <f t="array" ref="AS36">(AS34-AS38)/(((AS34+AS38))/2)</f>
        <v>2.5821704164458552E-2</v>
      </c>
      <c r="AT36" s="392">
        <f t="array" ref="AT36">(AT34-AT38)/(((AT34+AT38))/2)</f>
        <v>2.5602809106071857E-2</v>
      </c>
      <c r="AU36" s="392">
        <f t="array" ref="AU36">(AU34-AU38)/(((AU34+AU38))/2)</f>
        <v>1.2068795691331789E-2</v>
      </c>
      <c r="AV36" s="392">
        <f t="array" ref="AV36">(AV34-AV38)/(((AV34+AV38))/2)</f>
        <v>-7.9513465345759454E-2</v>
      </c>
      <c r="AW36" s="379"/>
      <c r="AX36" s="379"/>
      <c r="AY36" s="392">
        <f>(AY34-AY38)/(((AY34+AY38))/2)</f>
        <v>-4.9269506786663909E-4</v>
      </c>
      <c r="AZ36" s="392">
        <f t="shared" ref="AZ36:BB36" si="33">(AZ34-AZ38)/(((AZ34+AZ38))/2)</f>
        <v>1.2785539888024059E-2</v>
      </c>
      <c r="BA36" s="392">
        <f t="shared" si="33"/>
        <v>-9.5056203652414933E-2</v>
      </c>
      <c r="BB36" s="392">
        <f t="shared" si="33"/>
        <v>0.14863159851772351</v>
      </c>
      <c r="BC36" s="388"/>
      <c r="BD36" s="379"/>
      <c r="BE36" s="379"/>
      <c r="BF36" s="228"/>
      <c r="BG36" s="296" t="str">
        <f t="shared" si="32"/>
        <v>Outlier index</v>
      </c>
      <c r="BH36" s="389"/>
      <c r="BI36" s="392">
        <f>(BI34-BI38)/(((BI34+BI38))/2)</f>
        <v>-3.2786885245901745E-2</v>
      </c>
      <c r="BJ36" s="379"/>
      <c r="BK36" s="379"/>
      <c r="BL36" s="392">
        <f>(BL34-BL38)/(((BL34+BL38))/2)</f>
        <v>-2.7075358538945049E-2</v>
      </c>
      <c r="BM36" s="392">
        <f t="shared" ref="BM36:BO36" si="34">(BM34-BM38)/(((BM34+BM38))/2)</f>
        <v>-3.8118905150245061E-2</v>
      </c>
      <c r="BN36" s="392">
        <f t="shared" si="34"/>
        <v>-2.1164790834375228E-2</v>
      </c>
      <c r="BO36" s="392">
        <f t="shared" si="34"/>
        <v>-5.7280835106203139E-2</v>
      </c>
      <c r="BP36" s="391"/>
      <c r="BQ36" s="379"/>
      <c r="BR36" s="379"/>
      <c r="BS36" s="392">
        <f>(BS34-BS38)/(((BS34+BS38))/2)</f>
        <v>-2.4846028306493885E-3</v>
      </c>
      <c r="BT36" s="392">
        <f t="shared" ref="BT36:BV36" si="35">(BT34-BT38)/(((BT34+BT38))/2)</f>
        <v>-1.1734949887369592E-2</v>
      </c>
      <c r="BU36" s="392">
        <f t="shared" si="35"/>
        <v>0</v>
      </c>
      <c r="BV36" s="392">
        <f t="shared" si="35"/>
        <v>-9.9642969787703428E-2</v>
      </c>
      <c r="BW36" s="391"/>
      <c r="BX36" s="379"/>
      <c r="BY36" s="379"/>
      <c r="BZ36" s="392">
        <f t="shared" ref="BZ36:CA36" si="36">(BZ34-BZ38)/(((BZ34+BZ38))/2)</f>
        <v>1.7436618463077336E-3</v>
      </c>
      <c r="CA36" s="392">
        <f t="shared" si="36"/>
        <v>4.089986299201335E-3</v>
      </c>
      <c r="CB36" s="392">
        <f t="shared" ref="CB36:CC36" si="37">(CB34-CB38)/(((CB34+CB38))/2)</f>
        <v>1.7653994169808116E-3</v>
      </c>
      <c r="CC36" s="392">
        <f t="shared" si="37"/>
        <v>3.1416216762364243E-3</v>
      </c>
      <c r="CD36" s="393"/>
      <c r="CE36" s="379"/>
      <c r="CF36" s="379"/>
      <c r="CG36" s="392">
        <f>(CG34-CG38)/(((CG34+CG38))/2)</f>
        <v>-4.247698554166574E-3</v>
      </c>
      <c r="CH36" s="392">
        <f t="shared" ref="CH36:CJ36" si="38">(CH34-CH38)/(((CH34+CH38))/2)</f>
        <v>4.4070478759331393E-2</v>
      </c>
      <c r="CI36" s="392">
        <f t="shared" si="38"/>
        <v>-1.1992424014161049E-2</v>
      </c>
      <c r="CJ36" s="392" t="e">
        <f t="shared" si="38"/>
        <v>#DIV/0!</v>
      </c>
      <c r="CK36" s="391"/>
      <c r="CL36" s="379"/>
      <c r="CM36" s="379"/>
      <c r="CN36" s="392">
        <f>(CN34-CN38)/(((CN34+CN38))/2)</f>
        <v>1.1687327139456253E-2</v>
      </c>
      <c r="CO36" s="392">
        <f t="shared" ref="CO36:CQ36" si="39">(CO34-CO38)/(((CO34+CO38))/2)</f>
        <v>6.5260861547258589E-2</v>
      </c>
      <c r="CP36" s="392">
        <f t="shared" si="39"/>
        <v>0</v>
      </c>
      <c r="CQ36" s="392" t="e">
        <f t="shared" si="39"/>
        <v>#DIV/0!</v>
      </c>
      <c r="CR36" s="391"/>
      <c r="CS36" s="379"/>
      <c r="CT36" s="379"/>
      <c r="CU36" s="392">
        <f t="shared" ref="CU36:CV36" si="40">(CU34-CU38)/(((CU34+CU38))/2)</f>
        <v>-7.6505233322492379E-3</v>
      </c>
      <c r="CV36" s="392">
        <f t="shared" si="40"/>
        <v>-1.9804938430000339E-2</v>
      </c>
      <c r="CW36" s="392">
        <f t="shared" ref="CW36:CX36" si="41">(CW34-CW38)/(((CW34+CW38))/2)</f>
        <v>-7.7426613152295053E-3</v>
      </c>
      <c r="CX36" s="392">
        <f t="shared" si="41"/>
        <v>0</v>
      </c>
      <c r="CY36" s="391"/>
    </row>
    <row r="37" spans="1:103">
      <c r="A37" s="435"/>
      <c r="B37" s="298"/>
      <c r="C37" s="299"/>
      <c r="D37" s="300" t="str">
        <f t="shared" si="27"/>
        <v>n</v>
      </c>
      <c r="E37" s="394">
        <f t="shared" si="28"/>
        <v>3</v>
      </c>
      <c r="F37" s="395"/>
      <c r="G37" s="396"/>
      <c r="H37" s="394">
        <f t="shared" si="29"/>
        <v>3</v>
      </c>
      <c r="I37" s="394">
        <f t="shared" si="30"/>
        <v>3</v>
      </c>
      <c r="J37" s="394">
        <f t="shared" si="31"/>
        <v>3</v>
      </c>
      <c r="K37" s="394">
        <f t="shared" si="31"/>
        <v>3</v>
      </c>
      <c r="U37" s="287"/>
      <c r="V37" s="287"/>
      <c r="W37" s="287"/>
      <c r="X37" s="287"/>
      <c r="Y37" s="287"/>
      <c r="Z37" s="378"/>
      <c r="AA37" s="379"/>
      <c r="AB37" s="379"/>
      <c r="AC37" s="379"/>
      <c r="AD37" s="379"/>
      <c r="AE37" s="379"/>
      <c r="AF37" s="379"/>
      <c r="AG37" s="379"/>
      <c r="AH37" s="380"/>
      <c r="AI37" s="381"/>
      <c r="AJ37" s="382"/>
      <c r="AK37" s="382"/>
      <c r="AL37" s="382"/>
      <c r="AM37" s="382"/>
      <c r="AN37" s="159"/>
      <c r="AO37" s="384"/>
      <c r="AP37" s="386"/>
      <c r="AQ37" s="397"/>
      <c r="AR37" s="290" t="s">
        <v>32</v>
      </c>
      <c r="AS37" s="394">
        <f>COUNT(AS3:AS32)</f>
        <v>3</v>
      </c>
      <c r="AT37" s="394">
        <f t="shared" ref="AT37:AV37" si="42">COUNT(AT3:AT32)</f>
        <v>3</v>
      </c>
      <c r="AU37" s="394">
        <f t="shared" si="42"/>
        <v>3</v>
      </c>
      <c r="AV37" s="394">
        <f t="shared" si="42"/>
        <v>3</v>
      </c>
      <c r="AW37" s="398"/>
      <c r="AX37" s="290" t="str">
        <f>$AR37</f>
        <v>n</v>
      </c>
      <c r="AY37" s="394">
        <f>COUNT(AY3:AY32)</f>
        <v>3</v>
      </c>
      <c r="AZ37" s="394">
        <f t="shared" ref="AZ37:BB37" si="43">COUNT(AZ3:AZ32)</f>
        <v>3</v>
      </c>
      <c r="BA37" s="394">
        <f t="shared" si="43"/>
        <v>3</v>
      </c>
      <c r="BB37" s="394">
        <f t="shared" si="43"/>
        <v>3</v>
      </c>
      <c r="BC37" s="399"/>
      <c r="BD37" s="400"/>
      <c r="BE37" s="400"/>
      <c r="BF37" s="401"/>
      <c r="BG37" s="300" t="str">
        <f t="shared" si="32"/>
        <v>n</v>
      </c>
      <c r="BH37" s="300"/>
      <c r="BI37" s="394">
        <f>COUNT(BI3:BI32)</f>
        <v>3</v>
      </c>
      <c r="BJ37" s="402"/>
      <c r="BK37" s="290" t="str">
        <f>$AR37</f>
        <v>n</v>
      </c>
      <c r="BL37" s="394">
        <f>COUNT(BL3:BL32)</f>
        <v>3</v>
      </c>
      <c r="BM37" s="394">
        <f t="shared" ref="BM37:BO37" si="44">COUNT(BM3:BM32)</f>
        <v>3</v>
      </c>
      <c r="BN37" s="394">
        <f t="shared" si="44"/>
        <v>3</v>
      </c>
      <c r="BO37" s="394">
        <f t="shared" si="44"/>
        <v>3</v>
      </c>
      <c r="BP37" s="160"/>
      <c r="BQ37" s="402"/>
      <c r="BR37" s="290" t="str">
        <f>$AR37</f>
        <v>n</v>
      </c>
      <c r="BS37" s="394">
        <f>COUNT(BS3:BS32)</f>
        <v>3</v>
      </c>
      <c r="BT37" s="394">
        <f t="shared" ref="BT37:BV37" si="45">COUNT(BT3:BT32)</f>
        <v>3</v>
      </c>
      <c r="BU37" s="394">
        <f t="shared" si="45"/>
        <v>3</v>
      </c>
      <c r="BV37" s="394">
        <f t="shared" si="45"/>
        <v>3</v>
      </c>
      <c r="BW37" s="160"/>
      <c r="BX37" s="402"/>
      <c r="BY37" s="290" t="str">
        <f>$AR37</f>
        <v>n</v>
      </c>
      <c r="BZ37" s="394">
        <f t="shared" ref="BZ37:CA37" si="46">COUNT(BZ3:BZ32)</f>
        <v>3</v>
      </c>
      <c r="CA37" s="394">
        <f t="shared" si="46"/>
        <v>3</v>
      </c>
      <c r="CB37" s="394">
        <f t="shared" ref="CB37:CC37" si="47">COUNT(CB3:CB32)</f>
        <v>3</v>
      </c>
      <c r="CC37" s="394">
        <f t="shared" si="47"/>
        <v>3</v>
      </c>
      <c r="CD37" s="403"/>
      <c r="CE37" s="402"/>
      <c r="CF37" s="290" t="str">
        <f>$AR37</f>
        <v>n</v>
      </c>
      <c r="CG37" s="394">
        <f>COUNT(CG3:CG32)</f>
        <v>3</v>
      </c>
      <c r="CH37" s="394">
        <f t="shared" ref="CH37:CJ37" si="48">COUNT(CH3:CH32)</f>
        <v>3</v>
      </c>
      <c r="CI37" s="394">
        <f t="shared" si="48"/>
        <v>3</v>
      </c>
      <c r="CJ37" s="394">
        <f t="shared" si="48"/>
        <v>3</v>
      </c>
      <c r="CK37" s="160"/>
      <c r="CL37" s="402"/>
      <c r="CM37" s="290" t="str">
        <f>$AR37</f>
        <v>n</v>
      </c>
      <c r="CN37" s="394">
        <f>COUNT(CN3:CN32)</f>
        <v>3</v>
      </c>
      <c r="CO37" s="394">
        <f t="shared" ref="CO37:CQ37" si="49">COUNT(CO3:CO32)</f>
        <v>3</v>
      </c>
      <c r="CP37" s="394">
        <f t="shared" si="49"/>
        <v>3</v>
      </c>
      <c r="CQ37" s="394">
        <f t="shared" si="49"/>
        <v>3</v>
      </c>
      <c r="CR37" s="160"/>
      <c r="CS37" s="402"/>
      <c r="CT37" s="290" t="str">
        <f>$AR37</f>
        <v>n</v>
      </c>
      <c r="CU37" s="394">
        <f t="shared" ref="CU37:CV37" si="50">COUNT(CU3:CU32)</f>
        <v>3</v>
      </c>
      <c r="CV37" s="394">
        <f t="shared" si="50"/>
        <v>3</v>
      </c>
      <c r="CW37" s="394">
        <f t="shared" ref="CW37:CX37" si="51">COUNT(CW3:CW32)</f>
        <v>3</v>
      </c>
      <c r="CX37" s="394">
        <f t="shared" si="51"/>
        <v>3</v>
      </c>
      <c r="CY37" s="391"/>
    </row>
    <row r="38" spans="1:103" s="216" customFormat="1">
      <c r="A38" s="435"/>
      <c r="B38" s="217"/>
      <c r="C38" s="301"/>
      <c r="D38" s="360" t="str">
        <f t="shared" si="27"/>
        <v>Mean</v>
      </c>
      <c r="E38" s="361">
        <f t="shared" si="28"/>
        <v>2.0666666666666669</v>
      </c>
      <c r="F38" s="362"/>
      <c r="G38" s="363"/>
      <c r="H38" s="364">
        <f t="shared" si="29"/>
        <v>26.210306823030304</v>
      </c>
      <c r="I38" s="364">
        <f t="shared" si="30"/>
        <v>8.3627823123683047</v>
      </c>
      <c r="J38" s="364">
        <f t="shared" si="31"/>
        <v>63.554461359506412</v>
      </c>
      <c r="K38" s="364">
        <f t="shared" si="31"/>
        <v>2.0404118856270457</v>
      </c>
      <c r="L38" s="116"/>
      <c r="M38" s="116"/>
      <c r="N38" s="116"/>
      <c r="O38" s="116"/>
      <c r="P38" s="116"/>
      <c r="Q38" s="116"/>
      <c r="R38" s="116"/>
      <c r="S38" s="116"/>
      <c r="T38" s="116"/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L38" s="222"/>
      <c r="AM38" s="222"/>
      <c r="AN38" s="223"/>
      <c r="AO38" s="223"/>
      <c r="AP38" s="224"/>
      <c r="AQ38" s="225"/>
      <c r="AR38" s="365" t="s">
        <v>24</v>
      </c>
      <c r="AS38" s="366">
        <f t="shared" ref="AS38" si="52"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27.06064456</v>
      </c>
      <c r="AT38" s="366">
        <f t="shared" ref="AT38:AV38" si="53"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8.6267988999999989</v>
      </c>
      <c r="AU38" s="366">
        <f t="shared" si="53"/>
        <v>65.482797566666662</v>
      </c>
      <c r="AV38" s="366">
        <f t="shared" si="53"/>
        <v>2.0821657600000001</v>
      </c>
      <c r="AW38" s="367"/>
      <c r="AX38" s="365" t="str">
        <f>$AR38</f>
        <v>Mean</v>
      </c>
      <c r="AY38" s="366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122.55356666666667</v>
      </c>
      <c r="AZ38" s="366">
        <f t="shared" ref="AZ38:BB38" si="54"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116.19571666666667</v>
      </c>
      <c r="BA38" s="366">
        <f t="shared" si="54"/>
        <v>64.739366666666669</v>
      </c>
      <c r="BB38" s="366">
        <f t="shared" si="54"/>
        <v>54.768799999999999</v>
      </c>
      <c r="BC38" s="368"/>
      <c r="BD38" s="369"/>
      <c r="BE38" s="369"/>
      <c r="BF38" s="370"/>
      <c r="BG38" s="360" t="str">
        <f t="shared" si="32"/>
        <v>Mean</v>
      </c>
      <c r="BH38" s="371">
        <f>BI37</f>
        <v>3</v>
      </c>
      <c r="BI38" s="372">
        <f>AVERAGE(BI3:BI32)</f>
        <v>2.0666666666666669</v>
      </c>
      <c r="BJ38" s="362"/>
      <c r="BK38" s="365" t="str">
        <f>$AR38</f>
        <v>Mean</v>
      </c>
      <c r="BL38" s="366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26.210306823030304</v>
      </c>
      <c r="BM38" s="366">
        <f t="shared" ref="BM38:BO38" si="55"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8.3627823123683047</v>
      </c>
      <c r="BN38" s="366">
        <f t="shared" si="55"/>
        <v>63.554461359506412</v>
      </c>
      <c r="BO38" s="366">
        <f t="shared" si="55"/>
        <v>2.0404118856270457</v>
      </c>
      <c r="BP38" s="373"/>
      <c r="BQ38" s="369"/>
      <c r="BR38" s="365" t="str">
        <f>$AR38</f>
        <v>Mean</v>
      </c>
      <c r="BS38" s="361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0.4128946821615806</v>
      </c>
      <c r="BT38" s="361">
        <f t="shared" ref="BT38:BV38" si="56"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0.1315342154334673</v>
      </c>
      <c r="BU38" s="361">
        <f t="shared" si="56"/>
        <v>1</v>
      </c>
      <c r="BV38" s="361">
        <f t="shared" si="56"/>
        <v>3.2087902341649023E-2</v>
      </c>
      <c r="BW38" s="373"/>
      <c r="BX38" s="365"/>
      <c r="BY38" s="365" t="str">
        <f>$AR38</f>
        <v>Mean</v>
      </c>
      <c r="BZ38" s="361">
        <f t="shared" ref="BZ38:CA38" si="57"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0.58710531783841935</v>
      </c>
      <c r="CA38" s="361">
        <f t="shared" si="57"/>
        <v>0.68165392592534235</v>
      </c>
      <c r="CB38" s="361">
        <f t="shared" ref="CB38:CC38" si="58"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0.86846578456653267</v>
      </c>
      <c r="CC38" s="361">
        <f t="shared" si="58"/>
        <v>0.96791209765835096</v>
      </c>
      <c r="CD38" s="373"/>
      <c r="CE38" s="362"/>
      <c r="CF38" s="365" t="str">
        <f>$AR38</f>
        <v>Mean</v>
      </c>
      <c r="CG38" s="366">
        <f>AVERAGE(CG3:CG32)</f>
        <v>24.169894937403257</v>
      </c>
      <c r="CH38" s="366">
        <f t="shared" ref="CH38:CJ38" si="59">AVERAGE(CH3:CH32)</f>
        <v>6.3223704267412595</v>
      </c>
      <c r="CI38" s="366">
        <f t="shared" si="59"/>
        <v>61.514049473879368</v>
      </c>
      <c r="CJ38" s="366">
        <f t="shared" si="59"/>
        <v>0</v>
      </c>
      <c r="CK38" s="373"/>
      <c r="CL38" s="362"/>
      <c r="CM38" s="365" t="str">
        <f>$AR38</f>
        <v>Mean</v>
      </c>
      <c r="CN38" s="361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0.39331239316860706</v>
      </c>
      <c r="CO38" s="361">
        <f t="shared" ref="CO38:CQ38" si="60"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0.10259799318572271</v>
      </c>
      <c r="CP38" s="361">
        <f t="shared" si="60"/>
        <v>1</v>
      </c>
      <c r="CQ38" s="361">
        <f t="shared" si="60"/>
        <v>0</v>
      </c>
      <c r="CR38" s="373"/>
      <c r="CS38" s="362"/>
      <c r="CT38" s="365" t="str">
        <f>$AR38</f>
        <v>Mean</v>
      </c>
      <c r="CU38" s="361">
        <f t="shared" ref="CU38:CV38" si="61"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0.606687606831393</v>
      </c>
      <c r="CV38" s="361">
        <f t="shared" si="61"/>
        <v>0.74021206079556767</v>
      </c>
      <c r="CW38" s="361">
        <f t="shared" ref="CW38:CX38" si="62"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0.89740200681427729</v>
      </c>
      <c r="CX38" s="361">
        <f t="shared" si="62"/>
        <v>1</v>
      </c>
      <c r="CY38" s="374"/>
    </row>
    <row r="39" spans="1:103" s="216" customFormat="1">
      <c r="A39" s="436"/>
      <c r="B39" s="305"/>
      <c r="C39" s="304"/>
      <c r="D39" s="360" t="str">
        <f t="shared" si="27"/>
        <v>SD</v>
      </c>
      <c r="E39" s="361">
        <f t="shared" si="28"/>
        <v>0.11547005383792264</v>
      </c>
      <c r="F39" s="362"/>
      <c r="G39" s="362"/>
      <c r="H39" s="364">
        <f t="shared" si="29"/>
        <v>1.3517729579197144</v>
      </c>
      <c r="I39" s="364">
        <f t="shared" si="30"/>
        <v>0.98135563556648686</v>
      </c>
      <c r="J39" s="364">
        <f t="shared" si="31"/>
        <v>2.416861394194449</v>
      </c>
      <c r="K39" s="364">
        <f t="shared" si="31"/>
        <v>0.66189216559367736</v>
      </c>
      <c r="L39" s="364"/>
      <c r="M39" s="364"/>
      <c r="N39" s="364"/>
      <c r="O39" s="364"/>
      <c r="P39" s="364"/>
      <c r="Q39" s="364"/>
      <c r="R39" s="364"/>
      <c r="S39" s="364"/>
      <c r="T39" s="364"/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365" t="s">
        <v>22</v>
      </c>
      <c r="AS39" s="366">
        <f t="array" ref="AS39">STDEV(IF(ISNUMBER(AS3:AS32),AS3:AS32))</f>
        <v>1.4867272733434636</v>
      </c>
      <c r="AT39" s="366">
        <f t="array" ref="AT39">STDEV(IF(ISNUMBER(AT3:AT32),AT3:AT32))</f>
        <v>0.96245568181482477</v>
      </c>
      <c r="AU39" s="366">
        <f t="array" ref="AU39">STDEV(IF(ISNUMBER(AU3:AU32),AU3:AU32))</f>
        <v>3.1313788501848592</v>
      </c>
      <c r="AV39" s="366">
        <f t="array" ref="AV39">STDEV(IF(ISNUMBER(AV3:AV32),AV3:AV32))</f>
        <v>0.5994515921467598</v>
      </c>
      <c r="AW39" s="370"/>
      <c r="AX39" s="365" t="str">
        <f>$AR39</f>
        <v>SD</v>
      </c>
      <c r="AY39" s="366">
        <f t="array" ref="AY39">STDEV(IF(ISNUMBER(AY3:AY32),AY3:AY32))</f>
        <v>9.6167421022314219</v>
      </c>
      <c r="AZ39" s="366">
        <f t="array" ref="AZ39">STDEV(IF(ISNUMBER(AZ3:AZ32),AZ3:AZ32))</f>
        <v>10.55425761841331</v>
      </c>
      <c r="BA39" s="366">
        <f t="array" ref="BA39">STDEV(IF(ISNUMBER(BA3:BA32),BA3:BA32))</f>
        <v>13.205761102387575</v>
      </c>
      <c r="BB39" s="366">
        <f t="array" ref="BB39">STDEV(IF(ISNUMBER(BB3:BB32),BB3:BB32))</f>
        <v>20.919180797296988</v>
      </c>
      <c r="BC39" s="368"/>
      <c r="BD39" s="369"/>
      <c r="BE39" s="369"/>
      <c r="BF39" s="370"/>
      <c r="BG39" s="360" t="str">
        <f t="shared" si="32"/>
        <v>SD</v>
      </c>
      <c r="BH39" s="371">
        <f>BI37</f>
        <v>3</v>
      </c>
      <c r="BI39" s="372">
        <f>STDEV(BI3:BI32)</f>
        <v>0.11547005383792264</v>
      </c>
      <c r="BJ39" s="369"/>
      <c r="BK39" s="365" t="str">
        <f>$AR39</f>
        <v>SD</v>
      </c>
      <c r="BL39" s="366">
        <f t="array" ref="BL39">STDEV(IF(ISNUMBER(BL3:BL32),BL3:BL32))</f>
        <v>1.3517729579197144</v>
      </c>
      <c r="BM39" s="366">
        <f t="array" ref="BM39">STDEV(IF(ISNUMBER(BM3:BM32),BM3:BM32))</f>
        <v>0.98135563556648686</v>
      </c>
      <c r="BN39" s="366">
        <f t="array" ref="BN39">STDEV(IF(ISNUMBER(BN3:BN32),BN3:BN32))</f>
        <v>2.416861394194449</v>
      </c>
      <c r="BO39" s="366">
        <f t="array" ref="BO39">STDEV(IF(ISNUMBER(BO3:BO32),BO3:BO32))</f>
        <v>0.66189216559367736</v>
      </c>
      <c r="BP39" s="373"/>
      <c r="BQ39" s="369"/>
      <c r="BR39" s="365" t="str">
        <f>$AR39</f>
        <v>SD</v>
      </c>
      <c r="BS39" s="361">
        <f t="array" ref="BS39">STDEV(IF(ISNUMBER(BS3:BS32),BS3:BS32))</f>
        <v>5.2213037767492882E-3</v>
      </c>
      <c r="BT39" s="361">
        <f t="array" ref="BT39">STDEV(IF(ISNUMBER(BT3:BT32),BT3:BT32))</f>
        <v>1.0409690016952333E-2</v>
      </c>
      <c r="BU39" s="361">
        <f t="array" ref="BU39">STDEV(IF(ISNUMBER(BU3:BU32),BU3:BU32))</f>
        <v>0</v>
      </c>
      <c r="BV39" s="361">
        <f t="array" ref="BV39">STDEV(IF(ISNUMBER(BV3:BV32),BV3:BV32))</f>
        <v>1.0989003090849426E-2</v>
      </c>
      <c r="BW39" s="373"/>
      <c r="BX39" s="365"/>
      <c r="BY39" s="365" t="str">
        <f>$AR39</f>
        <v>SD</v>
      </c>
      <c r="BZ39" s="361">
        <f t="array" ref="BZ39">STDEV(IF(ISNUMBER(BZ3:BZ32),BZ3:BZ32))</f>
        <v>5.221303776749283E-3</v>
      </c>
      <c r="CA39" s="361">
        <f t="array" ref="CA39">STDEV(IF(ISNUMBER(CA3:CA32),CA3:CA32))</f>
        <v>2.1156133811859681E-2</v>
      </c>
      <c r="CB39" s="361">
        <f t="array" ref="CB39">STDEV(IF(ISNUMBER(CB3:CB32),CB3:CB32))</f>
        <v>1.0409690016952352E-2</v>
      </c>
      <c r="CC39" s="361">
        <f t="array" ref="CC39">STDEV(IF(ISNUMBER(CC3:CC32),CC3:CC32))</f>
        <v>1.098900309084944E-2</v>
      </c>
      <c r="CD39" s="373"/>
      <c r="CE39" s="375"/>
      <c r="CF39" s="365" t="str">
        <f>$AR39</f>
        <v>SD</v>
      </c>
      <c r="CG39" s="366">
        <f t="array" ref="CG39">STDEV(IF(ISNUMBER(CG3:CG32),CG3:CG32))</f>
        <v>1.6230538806837296</v>
      </c>
      <c r="CH39" s="366">
        <f t="array" ref="CH39">STDEV(IF(ISNUMBER(CH3:CH32),CH3:CH32))</f>
        <v>1.3779772392483138</v>
      </c>
      <c r="CI39" s="366">
        <f t="array" ref="CI39">STDEV(IF(ISNUMBER(CI3:CI32),CI3:CI32))</f>
        <v>2.6150306271770596</v>
      </c>
      <c r="CJ39" s="366">
        <f t="array" ref="CJ39">STDEV(IF(ISNUMBER(CJ3:CJ32),CJ3:CJ32))</f>
        <v>0</v>
      </c>
      <c r="CK39" s="373"/>
      <c r="CL39" s="375"/>
      <c r="CM39" s="365" t="str">
        <f>$AR39</f>
        <v>SD</v>
      </c>
      <c r="CN39" s="361">
        <f t="array" ref="CN39">STDEV(IF(ISNUMBER(CN3:CN32),CN3:CN32))</f>
        <v>1.092078457132834E-2</v>
      </c>
      <c r="CO39" s="361">
        <f t="array" ref="CO39">STDEV(IF(ISNUMBER(CO3:CO32),CO3:CO32))</f>
        <v>1.8823733701459726E-2</v>
      </c>
      <c r="CP39" s="361">
        <f t="array" ref="CP39">STDEV(IF(ISNUMBER(CP3:CP32),CP3:CP32))</f>
        <v>0</v>
      </c>
      <c r="CQ39" s="361">
        <f t="array" ref="CQ39">STDEV(IF(ISNUMBER(CQ3:CQ32),CQ3:CQ32))</f>
        <v>0</v>
      </c>
      <c r="CR39" s="373"/>
      <c r="CS39" s="375"/>
      <c r="CT39" s="365" t="str">
        <f>$AR39</f>
        <v>SD</v>
      </c>
      <c r="CU39" s="361">
        <f t="array" ref="CU39">STDEV(IF(ISNUMBER(CU3:CU32),CU3:CU32))</f>
        <v>1.0920784571328319E-2</v>
      </c>
      <c r="CV39" s="361">
        <f t="array" ref="CV39">STDEV(IF(ISNUMBER(CV3:CV32),CV3:CV32))</f>
        <v>4.1049082620451698E-2</v>
      </c>
      <c r="CW39" s="361">
        <f t="array" ref="CW39">STDEV(IF(ISNUMBER(CW3:CW32),CW3:CW32))</f>
        <v>1.8823733701459681E-2</v>
      </c>
      <c r="CX39" s="361">
        <f t="array" ref="CX39">STDEV(IF(ISNUMBER(CX3:CX32),CX3:CX32))</f>
        <v>0</v>
      </c>
      <c r="CY39" s="374"/>
    </row>
    <row r="40" spans="1:103" ht="13.8" thickBot="1">
      <c r="A40" s="464" t="s">
        <v>121</v>
      </c>
      <c r="B40" s="437" t="str">
        <f>$G$22</f>
        <v>DatLab 7 Template 16-07-20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</sheetData>
  <conditionalFormatting sqref="CN34:CQ34 CG34:CJ34 BZ9:CA10 CB3:CC10 BV9:BV10 BS34:BV34 BS3:BU10 BI34 BL34:BO34 BH3 BI3:BI4 BA9:BA10 AZ3:AZ10 AU10 AV3:AV10 AS34:AV34 BT3:BV8 AS3:AT10 AS5:AV8 AT3:AV8 BB3:BB10 AY5:AZ9 AY3:BB8 BL3:BO10 BS4:BV8 BZ3:CC8 CG3:CJ10 CN3:CQ10 CU3:CX10 CU34:CX34 BZ34:CC34 BH4:BI8">
    <cfRule type="containsErrors" dxfId="47" priority="16" stopIfTrue="1">
      <formula>ISERROR(AS3)</formula>
    </cfRule>
  </conditionalFormatting>
  <conditionalFormatting sqref="AS34:AV34">
    <cfRule type="containsErrors" dxfId="46" priority="15" stopIfTrue="1">
      <formula>ISERROR(AS34)</formula>
    </cfRule>
  </conditionalFormatting>
  <hyperlinks>
    <hyperlink ref="A33" location="Tables_Sample_statistics" display="→ Tables: Sample statistics"/>
    <hyperlink ref="G23" location="Cohort!AQ21" display="→ Coupling-pathway control diagram"/>
    <hyperlink ref="AM11" location="Sample_statistics" display="é Sample statistics"/>
    <hyperlink ref="F2" r:id="rId1" display="SUIT protocol"/>
    <hyperlink ref="A40" location="Sample_statistics" display="é Sample statistics"/>
    <hyperlink ref="A1" location="Cohort!B3" display="• Cohort"/>
    <hyperlink ref="AO33" location="Sample_statistics" display="← Sample statistics"/>
    <hyperlink ref="A2" location="Navigation!B3" display="↗ Navigation"/>
    <hyperlink ref="G2" r:id="rId2"/>
    <hyperlink ref="D4" location="'#2-32D'!A1" display="'#2-32D'!A1"/>
    <hyperlink ref="D5" location="'#3-32D'!B3" display="'#3-32D'!B3"/>
    <hyperlink ref="D6" location="'#4-32D'!B3" display="'#4-32D'!B3"/>
    <hyperlink ref="D7" location="'#5-32D'!B3" display="'#5-32D'!B3"/>
    <hyperlink ref="D8" location="'#6-32D'!B3" display="'#6-32D'!B3"/>
    <hyperlink ref="D3" location="'#1-32D'!B3" display="'#1-32D'!B3"/>
  </hyperlinks>
  <pageMargins left="0.7" right="0.7" top="0.78740157499999996" bottom="0.78740157499999996" header="0.3" footer="0.3"/>
  <pageSetup paperSize="9" orientation="portrait" r:id="rId3"/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>
  <sheetPr codeName="Tabelle3"/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222</v>
      </c>
      <c r="B1" s="326" t="str">
        <f>IF(ISTEXT(AB48),AB48,"Cohort")</f>
        <v>Cohort</v>
      </c>
      <c r="C1" s="331" t="str">
        <f>IF(ISTEXT(AB47),AB47,"Type")</f>
        <v>32D</v>
      </c>
      <c r="D1" s="331" t="str">
        <f>IF(ISTEXT(AB49),AB49,"Code")</f>
        <v>Code</v>
      </c>
      <c r="E1" s="327">
        <f>IF(ISNUMBER(AB50),AB50,"")</f>
        <v>1</v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1</v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>
        <f>$E$1</f>
        <v>1</v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>
        <f>$E$1</f>
        <v>1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>
        <f>$E$1</f>
        <v>1</v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>
        <f>$E$1</f>
        <v>1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1</v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>
        <f>$E$1</f>
        <v>1</v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>
        <f>$E$1</f>
        <v>1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1</v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2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1.01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25.664969999999997</v>
      </c>
      <c r="AT3" s="38">
        <f t="shared" ref="AT3:AV3" si="0">IF(ISNUMBER(AT51),AT51,NA())</f>
        <v>7.8765040000000006</v>
      </c>
      <c r="AU3" s="38">
        <f t="shared" si="0"/>
        <v>62.452795999999999</v>
      </c>
      <c r="AV3" s="38">
        <f t="shared" si="0"/>
        <v>3.0944760000000002</v>
      </c>
      <c r="AW3" s="354" t="str">
        <f>AW51</f>
        <v>3A: O2 concentration</v>
      </c>
      <c r="AX3" s="354" t="str">
        <f>AX51</f>
        <v>µM</v>
      </c>
      <c r="AY3" s="353">
        <f>IF(ISNUMBER(AY51),AY51,NA())</f>
        <v>130.07650000000001</v>
      </c>
      <c r="AZ3" s="353">
        <f t="shared" ref="AZ3:BB3" si="1">IF(ISNUMBER(AZ51),AZ51,NA())</f>
        <v>124.3648</v>
      </c>
      <c r="BA3" s="353">
        <f t="shared" si="1"/>
        <v>57.655200000000001</v>
      </c>
      <c r="BB3" s="353">
        <f t="shared" si="1"/>
        <v>87.566199999999995</v>
      </c>
      <c r="BC3" s="140">
        <f>BC51</f>
        <v>0</v>
      </c>
      <c r="BD3" s="141" t="str">
        <f>BD51</f>
        <v>MIPNET10.04_CELLS_2005-04-09 P3-02.DLD</v>
      </c>
      <c r="BE3" s="141">
        <f>BE51</f>
        <v>0</v>
      </c>
      <c r="BF3" s="142">
        <f>BF51</f>
        <v>0</v>
      </c>
      <c r="BG3" s="143">
        <f>$AP51</f>
        <v>1.01</v>
      </c>
      <c r="BH3" s="143"/>
      <c r="BI3" s="144">
        <f>BI51</f>
        <v>2</v>
      </c>
      <c r="BJ3" s="356" t="str">
        <f>BJ51</f>
        <v>O2 flow per cells</v>
      </c>
      <c r="BK3" s="356" t="str">
        <f>BK51</f>
        <v>pmol/(s*Mill)</v>
      </c>
      <c r="BL3" s="38">
        <f>IF(ISNUMBER(BL51),BL51,NA())</f>
        <v>25.664969999999997</v>
      </c>
      <c r="BM3" s="38">
        <f t="shared" ref="BM3:BO3" si="2">IF(ISNUMBER(BM51),BM51,NA())</f>
        <v>7.8804442221110556</v>
      </c>
      <c r="BN3" s="38">
        <f t="shared" si="2"/>
        <v>62.518440362380495</v>
      </c>
      <c r="BO3" s="38">
        <f t="shared" si="2"/>
        <v>3.1019206094627108</v>
      </c>
      <c r="BP3" s="143">
        <f>$AP51</f>
        <v>1.01</v>
      </c>
      <c r="BQ3" s="357" t="str">
        <f>BQ51</f>
        <v>Flux control ratio</v>
      </c>
      <c r="BR3" s="357" t="str">
        <f>BR51</f>
        <v>FCR, relative</v>
      </c>
      <c r="BS3" s="315">
        <f>IF(ISNUMBER(BS51),BS51,NA())</f>
        <v>0.41051839827155212</v>
      </c>
      <c r="BT3" s="315">
        <f t="shared" ref="BT3:BV3" si="3">IF(ISNUMBER(BT51),BT51,NA())</f>
        <v>0.12604991705540036</v>
      </c>
      <c r="BU3" s="315">
        <f t="shared" si="3"/>
        <v>1</v>
      </c>
      <c r="BV3" s="315">
        <f t="shared" si="3"/>
        <v>4.9616090732315252E-2</v>
      </c>
      <c r="BW3" s="143">
        <f>$AP51</f>
        <v>1.01</v>
      </c>
      <c r="BX3" s="357" t="str">
        <f>BX51</f>
        <v>Flux control factor</v>
      </c>
      <c r="BY3" s="357" t="str">
        <f>BY51</f>
        <v>FCF, relative</v>
      </c>
      <c r="BZ3" s="315">
        <f>IF(ISNUMBER(BZ51),BZ51,NA())</f>
        <v>0.58948160172844788</v>
      </c>
      <c r="CA3" s="315">
        <f t="shared" ref="CA3:CC3" si="4">IF(ISNUMBER(CA51),CA51,NA())</f>
        <v>0.69294940839163044</v>
      </c>
      <c r="CB3" s="315">
        <f t="shared" si="4"/>
        <v>0.87395008294459964</v>
      </c>
      <c r="CC3" s="315">
        <f t="shared" si="4"/>
        <v>0.95038390926768479</v>
      </c>
      <c r="CD3" s="143">
        <f>$AP51</f>
        <v>1.01</v>
      </c>
      <c r="CE3" s="356" t="str">
        <f>CE51</f>
        <v>O2 flow per cells (mt: ROX-corr.)</v>
      </c>
      <c r="CF3" s="356" t="str">
        <f>CF51</f>
        <v>pmol/(s*Mill)</v>
      </c>
      <c r="CG3" s="38">
        <f>IF(ISNUMBER(CG51),CG51,NA())</f>
        <v>22.563049390537287</v>
      </c>
      <c r="CH3" s="38">
        <f t="shared" ref="CH3:CJ3" si="5">IF(ISNUMBER(CH51),CH51,NA())</f>
        <v>4.7785236126483444</v>
      </c>
      <c r="CI3" s="38">
        <f t="shared" si="5"/>
        <v>59.416519752917786</v>
      </c>
      <c r="CJ3" s="38">
        <f t="shared" si="5"/>
        <v>0</v>
      </c>
      <c r="CK3" s="143">
        <f>$AP51</f>
        <v>1.01</v>
      </c>
      <c r="CL3" s="357" t="str">
        <f>CL51</f>
        <v>FCR (mt: ROX-corr.)</v>
      </c>
      <c r="CM3" s="357" t="str">
        <f>CM51</f>
        <v>relative</v>
      </c>
      <c r="CN3" s="315">
        <f>IF(ISNUMBER(CN51),CN51,NA())</f>
        <v>0.37974370569607918</v>
      </c>
      <c r="CO3" s="315">
        <f t="shared" ref="CO3:CQ3" si="6">IF(ISNUMBER(CO51),CO51,NA())</f>
        <v>8.0424158677077071E-2</v>
      </c>
      <c r="CP3" s="315">
        <f t="shared" si="6"/>
        <v>1</v>
      </c>
      <c r="CQ3" s="315">
        <f t="shared" si="6"/>
        <v>0</v>
      </c>
      <c r="CR3" s="143">
        <f>$AP51</f>
        <v>1.01</v>
      </c>
      <c r="CS3" s="357" t="str">
        <f>CS51</f>
        <v>FCF (mt: ROX-corr.)</v>
      </c>
      <c r="CT3" s="357" t="str">
        <f>CT51</f>
        <v>relative</v>
      </c>
      <c r="CU3" s="315">
        <f>IF(ISNUMBER(CU51),CU51,NA())</f>
        <v>0.62025629430392082</v>
      </c>
      <c r="CV3" s="315">
        <f t="shared" ref="CV3:CX3" si="7">IF(ISNUMBER(CV51),CV51,NA())</f>
        <v>0.78821463668592562</v>
      </c>
      <c r="CW3" s="315">
        <f t="shared" si="7"/>
        <v>0.91957584132292292</v>
      </c>
      <c r="CX3" s="315">
        <f t="shared" si="7"/>
        <v>1</v>
      </c>
      <c r="CY3" s="143">
        <f>$AP51</f>
        <v>1.01</v>
      </c>
    </row>
    <row r="4" spans="1:116">
      <c r="A4" s="473" t="s">
        <v>99</v>
      </c>
      <c r="B4" s="288" t="str">
        <f>B41</f>
        <v>MIPNET10.04_CELLS_2005-04-09 P3-02.DLD</v>
      </c>
      <c r="C4" s="166" t="str">
        <f>IF(ISTEXT(C42),C42,"")</f>
        <v>32D</v>
      </c>
      <c r="D4" s="166" t="str">
        <f>IF(ISTEXT(D42),D42,"")</f>
        <v/>
      </c>
      <c r="E4" s="240">
        <f>E42</f>
        <v>1.01</v>
      </c>
      <c r="F4" s="166" t="str">
        <f>IF(ISTEXT(G41),G41,"")</f>
        <v>3A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>
        <f>$AP71</f>
        <v>1.02</v>
      </c>
      <c r="AQ4" s="38" t="str">
        <f>AQ71</f>
        <v>O2 flux per volume</v>
      </c>
      <c r="AR4" s="38" t="str">
        <f>AR71</f>
        <v>pmol/(s*ml)</v>
      </c>
      <c r="AS4" s="38">
        <f>IF(ISNUMBER(AS71),AS71,NA())</f>
        <v>25.039534719999999</v>
      </c>
      <c r="AT4" s="38">
        <f t="shared" ref="AT4:AV4" si="9">IF(ISNUMBER(AT71),AT71,NA())</f>
        <v>7.2678588000000008</v>
      </c>
      <c r="AU4" s="38">
        <f t="shared" si="9"/>
        <v>61.608234719999999</v>
      </c>
      <c r="AV4" s="38">
        <f t="shared" si="9"/>
        <v>2.3958356800000002</v>
      </c>
      <c r="AW4" s="354" t="str">
        <f>AW71</f>
        <v>3B: O2 concentration</v>
      </c>
      <c r="AX4" s="354" t="str">
        <f>AX71</f>
        <v>µM</v>
      </c>
      <c r="AY4" s="353">
        <f>IF(ISNUMBER(AY71),AY71,NA())</f>
        <v>134.32419999999999</v>
      </c>
      <c r="AZ4" s="353">
        <f t="shared" ref="AZ4:BB4" si="10">IF(ISNUMBER(AZ71),AZ71,NA())</f>
        <v>127.48050000000001</v>
      </c>
      <c r="BA4" s="353">
        <f t="shared" si="10"/>
        <v>60.074199999999998</v>
      </c>
      <c r="BB4" s="353">
        <f t="shared" si="10"/>
        <v>52.144799999999996</v>
      </c>
      <c r="BC4" s="140">
        <f>BC71</f>
        <v>0</v>
      </c>
      <c r="BD4" s="141" t="str">
        <f>BD71</f>
        <v>MIPNET10.04_CELLS_2005-04-09 P3-02.DLD</v>
      </c>
      <c r="BE4" s="141">
        <f>BE71</f>
        <v>0</v>
      </c>
      <c r="BF4" s="142">
        <f>BF71</f>
        <v>0</v>
      </c>
      <c r="BG4" s="143">
        <f>$AP71</f>
        <v>1.02</v>
      </c>
      <c r="BH4" s="143"/>
      <c r="BI4" s="144">
        <f>BI71</f>
        <v>2</v>
      </c>
      <c r="BJ4" s="356" t="str">
        <f>BJ71</f>
        <v>O2 flow per cells</v>
      </c>
      <c r="BK4" s="356" t="str">
        <f>BK71</f>
        <v>pmol/(s*Mill)</v>
      </c>
      <c r="BL4" s="38">
        <f>IF(ISNUMBER(BL71),BL71,NA())</f>
        <v>25.039534719999999</v>
      </c>
      <c r="BM4" s="38">
        <f t="shared" ref="BM4:BO4" si="11">IF(ISNUMBER(BM71),BM71,NA())</f>
        <v>7.2714945472736376</v>
      </c>
      <c r="BN4" s="38">
        <f t="shared" si="11"/>
        <v>61.672991360928975</v>
      </c>
      <c r="BO4" s="38">
        <f t="shared" si="11"/>
        <v>2.4015995188452286</v>
      </c>
      <c r="BP4" s="143">
        <f>$AP71</f>
        <v>1.02</v>
      </c>
      <c r="BQ4" s="357" t="str">
        <f>BQ71</f>
        <v>Flux control ratio</v>
      </c>
      <c r="BR4" s="357" t="str">
        <f>BR71</f>
        <v>FCR, relative</v>
      </c>
      <c r="BS4" s="315">
        <f>IF(ISNUMBER(BS71),BS71,NA())</f>
        <v>0.40600486805417102</v>
      </c>
      <c r="BT4" s="315">
        <f t="shared" ref="BT4:BV4" si="12">IF(ISNUMBER(BT71),BT71,NA())</f>
        <v>0.11790403524808218</v>
      </c>
      <c r="BU4" s="315">
        <f t="shared" si="12"/>
        <v>1</v>
      </c>
      <c r="BV4" s="315">
        <f t="shared" si="12"/>
        <v>3.8940863185804343E-2</v>
      </c>
      <c r="BW4" s="143">
        <f>$AP71</f>
        <v>1.02</v>
      </c>
      <c r="BX4" s="357" t="str">
        <f>BX71</f>
        <v>Flux control factor</v>
      </c>
      <c r="BY4" s="357" t="str">
        <f>BY71</f>
        <v>FCF, relative</v>
      </c>
      <c r="BZ4" s="315">
        <f>IF(ISNUMBER(BZ71),BZ71,NA())</f>
        <v>0.59399513194582898</v>
      </c>
      <c r="CA4" s="315">
        <f t="shared" ref="CA4:CC4" si="13">IF(ISNUMBER(CA71),CA71,NA())</f>
        <v>0.70959945427957072</v>
      </c>
      <c r="CB4" s="315">
        <f t="shared" si="13"/>
        <v>0.88209596475191776</v>
      </c>
      <c r="CC4" s="315">
        <f t="shared" si="13"/>
        <v>0.96105913681419564</v>
      </c>
      <c r="CD4" s="143">
        <f>$AP71</f>
        <v>1.02</v>
      </c>
      <c r="CE4" s="356" t="str">
        <f>CE71</f>
        <v>O2 flow per cells (mt: ROX-corr.)</v>
      </c>
      <c r="CF4" s="356" t="str">
        <f>CF71</f>
        <v>pmol/(s*Mill)</v>
      </c>
      <c r="CG4" s="38">
        <f>IF(ISNUMBER(CG71),CG71,NA())</f>
        <v>22.637935201154772</v>
      </c>
      <c r="CH4" s="38">
        <f t="shared" ref="CH4:CJ4" si="14">IF(ISNUMBER(CH71),CH71,NA())</f>
        <v>4.8698950284284095</v>
      </c>
      <c r="CI4" s="38">
        <f t="shared" si="14"/>
        <v>59.271391842083744</v>
      </c>
      <c r="CJ4" s="38">
        <f t="shared" si="14"/>
        <v>0</v>
      </c>
      <c r="CK4" s="143">
        <f>$AP71</f>
        <v>1.02</v>
      </c>
      <c r="CL4" s="357" t="str">
        <f>CL71</f>
        <v>FCR (mt: ROX-corr.)</v>
      </c>
      <c r="CM4" s="357" t="str">
        <f>CM71</f>
        <v>relative</v>
      </c>
      <c r="CN4" s="315">
        <f>IF(ISNUMBER(CN71),CN71,NA())</f>
        <v>0.38193695976414432</v>
      </c>
      <c r="CO4" s="315">
        <f t="shared" ref="CO4:CQ4" si="15">IF(ISNUMBER(CO71),CO71,NA())</f>
        <v>8.2162656841317794E-2</v>
      </c>
      <c r="CP4" s="315">
        <f t="shared" si="15"/>
        <v>1</v>
      </c>
      <c r="CQ4" s="315">
        <f t="shared" si="15"/>
        <v>0</v>
      </c>
      <c r="CR4" s="143">
        <f>$AP71</f>
        <v>1.02</v>
      </c>
      <c r="CS4" s="357" t="str">
        <f>CS71</f>
        <v>FCF (mt: ROX-corr.)</v>
      </c>
      <c r="CT4" s="357" t="str">
        <f>CT71</f>
        <v>relative</v>
      </c>
      <c r="CU4" s="315">
        <f>IF(ISNUMBER(CU71),CU71,NA())</f>
        <v>0.61806304023585568</v>
      </c>
      <c r="CV4" s="315">
        <f t="shared" ref="CV4:CX4" si="16">IF(ISNUMBER(CV71),CV71,NA())</f>
        <v>0.78487901015901862</v>
      </c>
      <c r="CW4" s="315">
        <f t="shared" si="16"/>
        <v>0.91783734315868215</v>
      </c>
      <c r="CX4" s="315">
        <f t="shared" si="16"/>
        <v>1</v>
      </c>
      <c r="CY4" s="143">
        <f>$AP71</f>
        <v>1.02</v>
      </c>
    </row>
    <row r="5" spans="1:116" ht="13.8">
      <c r="A5" s="473" t="s">
        <v>108</v>
      </c>
      <c r="B5" s="288" t="str">
        <f>B61</f>
        <v>MIPNET10.04_CELLS_2005-04-09 P3-02.DLD</v>
      </c>
      <c r="C5" s="166" t="str">
        <f>IF(ISTEXT(C62),C62,"")</f>
        <v>32D</v>
      </c>
      <c r="D5" s="166" t="str">
        <f>IF(ISTEXT(D62),D62,"")</f>
        <v/>
      </c>
      <c r="E5" s="240">
        <f>E62</f>
        <v>1.02</v>
      </c>
      <c r="F5" s="166" t="str">
        <f>IF(ISTEXT(G61),G61,"")</f>
        <v>3B</v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>
        <f>AK18</f>
        <v>0.12197697615174127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>
        <f>AJ18</f>
        <v>0.40826163316286157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0.40826163316286157</v>
      </c>
      <c r="AK18" s="212">
        <f>BT34</f>
        <v>0.12197697615174127</v>
      </c>
      <c r="AL18" s="212">
        <f>BU34</f>
        <v>1</v>
      </c>
      <c r="AM18" s="212">
        <f>BV34</f>
        <v>4.4278476959059801E-2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>
        <f>$E$1</f>
        <v>1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>
        <f>$E$1</f>
        <v>1</v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>
        <f>$E$1</f>
        <v>1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>
        <f>$E$1</f>
        <v>1</v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>
        <f>$E$1</f>
        <v>1</v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>
        <f>$E$1</f>
        <v>1</v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>
        <f>$E$1</f>
        <v>1</v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>
        <f>$E$1</f>
        <v>1</v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>
        <f>$E$1</f>
        <v>1</v>
      </c>
    </row>
    <row r="34" spans="1:104">
      <c r="A34" s="435"/>
      <c r="B34" s="1"/>
      <c r="C34" s="1"/>
      <c r="D34" s="307" t="str">
        <f t="shared" ref="D34:D39" si="67">BG34</f>
        <v>Median</v>
      </c>
      <c r="E34" s="297">
        <f t="shared" ref="E34:E39" si="68">BI34</f>
        <v>2</v>
      </c>
      <c r="F34" s="1"/>
      <c r="G34" s="50"/>
      <c r="H34" s="26">
        <f t="shared" ref="H34:H39" si="69">BL34</f>
        <v>25.352252359999998</v>
      </c>
      <c r="I34" s="26">
        <f t="shared" ref="I34:I39" si="70">BM34</f>
        <v>7.5759693846923462</v>
      </c>
      <c r="J34" s="26">
        <f t="shared" ref="J34:J39" si="71">BN34</f>
        <v>62.095715861654739</v>
      </c>
      <c r="K34" s="26">
        <f t="shared" ref="K34:K39" si="72">BO34</f>
        <v>2.7517600641539697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>
        <f>$E$1</f>
        <v>1</v>
      </c>
      <c r="AQ34" s="37" t="s">
        <v>5</v>
      </c>
      <c r="AR34" s="174" t="s">
        <v>34</v>
      </c>
      <c r="AS34" s="38">
        <f t="array" ref="AS34">MEDIAN(IF(ISNUMBER(AS3:AS32),AS3:AS32))</f>
        <v>25.352252359999998</v>
      </c>
      <c r="AT34" s="38">
        <f t="array" ref="AT34">MEDIAN(IF(ISNUMBER(AT3:AT32),AT3:AT32))</f>
        <v>7.5721814000000007</v>
      </c>
      <c r="AU34" s="38">
        <f t="array" ref="AU34">MEDIAN(IF(ISNUMBER(AU3:AU32),AU3:AU32))</f>
        <v>62.030515359999995</v>
      </c>
      <c r="AV34" s="38">
        <f t="array" ref="AV34">MEDIAN(IF(ISNUMBER(AV3:AV32),AV3:AV32))</f>
        <v>2.7451558400000002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132.20035000000001</v>
      </c>
      <c r="AZ34" s="348">
        <f t="array" ref="AZ34">MEDIAN(IF(ISNUMBER(AZ3:AZ32),AZ3:AZ32))</f>
        <v>125.92265</v>
      </c>
      <c r="BA34" s="348">
        <f t="array" ref="BA34">MEDIAN(IF(ISNUMBER(BA3:BA32),BA3:BA32))</f>
        <v>58.864699999999999</v>
      </c>
      <c r="BB34" s="348">
        <f t="array" ref="BB34">MEDIAN(IF(ISNUMBER(BB3:BB32),BB3:BB32))</f>
        <v>69.855499999999992</v>
      </c>
      <c r="BC34" s="157"/>
      <c r="BD34" s="172"/>
      <c r="BE34" s="172"/>
      <c r="BF34" s="174">
        <f>BF33</f>
        <v>0</v>
      </c>
      <c r="BG34" s="296" t="str">
        <f t="shared" ref="BG34:BG39" si="73">$AR34</f>
        <v>Median</v>
      </c>
      <c r="BH34" s="192">
        <f>BI37</f>
        <v>2</v>
      </c>
      <c r="BI34" s="346">
        <f t="array" ref="BI34">MEDIAN(IF(ISNUMBER(BI3:BI32),BI3:BI32))</f>
        <v>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25.352252359999998</v>
      </c>
      <c r="BM34" s="26">
        <f t="array" ref="BM34">MEDIAN(IF(ISNUMBER(BM3:BM32),BM3:BM32))</f>
        <v>7.5759693846923462</v>
      </c>
      <c r="BN34" s="26">
        <f t="array" ref="BN34">MEDIAN(IF(ISNUMBER(BN3:BN32),BN3:BN32))</f>
        <v>62.095715861654739</v>
      </c>
      <c r="BO34" s="26">
        <f t="array" ref="BO34">MEDIAN(IF(ISNUMBER(BO3:BO32),BO3:BO32))</f>
        <v>2.7517600641539697</v>
      </c>
      <c r="BP34" s="452">
        <f>$E$1</f>
        <v>1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0.40826163316286157</v>
      </c>
      <c r="BT34" s="312">
        <f t="array" ref="BT34">MEDIAN(IF(ISNUMBER(BT3:BT32),BT3:BT32))</f>
        <v>0.12197697615174127</v>
      </c>
      <c r="BU34" s="312">
        <f t="array" ref="BU34">MEDIAN(IF(ISNUMBER(BU3:BU32),BU3:BU32))</f>
        <v>1</v>
      </c>
      <c r="BV34" s="312">
        <f t="array" ref="BV34">MEDIAN(IF(ISNUMBER(BV3:BV32),BV3:BV32))</f>
        <v>4.4278476959059801E-2</v>
      </c>
      <c r="BW34" s="452">
        <f>$E$1</f>
        <v>1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0.59173836683713843</v>
      </c>
      <c r="CA34" s="312">
        <f t="array" ref="CA34">MEDIAN(IF(ISNUMBER(CA3:CA32),CA3:CA32))</f>
        <v>0.70127443133560052</v>
      </c>
      <c r="CB34" s="312">
        <f t="array" ref="CB34">MEDIAN(IF(ISNUMBER(CB3:CB32),CB3:CB32))</f>
        <v>0.8780230238482587</v>
      </c>
      <c r="CC34" s="312">
        <f t="array" ref="CC34">MEDIAN(IF(ISNUMBER(CC3:CC32),CC3:CC32))</f>
        <v>0.95572152304094016</v>
      </c>
      <c r="CD34" s="452">
        <f>$E$1</f>
        <v>1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22.600492295846031</v>
      </c>
      <c r="CH34" s="26">
        <f t="array" ref="CH34">MEDIAN(IF(ISNUMBER(CH3:CH32),CH3:CH32))</f>
        <v>4.8242093205383769</v>
      </c>
      <c r="CI34" s="26">
        <f t="array" ref="CI34">MEDIAN(IF(ISNUMBER(CI3:CI32),CI3:CI32))</f>
        <v>59.343955797500769</v>
      </c>
      <c r="CJ34" s="26">
        <f t="array" ref="CJ34">MEDIAN(IF(ISNUMBER(CJ3:CJ32),CJ3:CJ32))</f>
        <v>0</v>
      </c>
      <c r="CK34" s="452">
        <f>$E$1</f>
        <v>1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0.38084033273011175</v>
      </c>
      <c r="CO34" s="312">
        <f t="array" ref="CO34">MEDIAN(IF(ISNUMBER(CO3:CO32),CO3:CO32))</f>
        <v>8.1293407759197439E-2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1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0.61915966726988825</v>
      </c>
      <c r="CV34" s="312">
        <f t="array" ref="CV34">MEDIAN(IF(ISNUMBER(CV3:CV32),CV3:CV32))</f>
        <v>0.78654682342247217</v>
      </c>
      <c r="CW34" s="312">
        <f t="array" ref="CW34">MEDIAN(IF(ISNUMBER(CW3:CW32),CW3:CW32))</f>
        <v>0.91870659224080253</v>
      </c>
      <c r="CX34" s="312">
        <f t="array" ref="CX34">MEDIAN(IF(ISNUMBER(CX3:CX32),CX3:CX32))</f>
        <v>1</v>
      </c>
      <c r="CY34" s="452">
        <f>$E$1</f>
        <v>1</v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0.62543527999999782</v>
      </c>
      <c r="I35" s="38">
        <f t="shared" si="70"/>
        <v>0.60894967483741791</v>
      </c>
      <c r="J35" s="38">
        <f t="shared" si="71"/>
        <v>0.84544900145152013</v>
      </c>
      <c r="K35" s="38">
        <f t="shared" si="72"/>
        <v>0.70032109061748216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0.62543527999999782</v>
      </c>
      <c r="AT35" s="129">
        <f t="array" ref="AT35">MAX(IF(ISNUMBER(AT3:AT32),AT3:AT32))-MIN(IF(ISNUMBER(AT3:AT32),AT3:AT32))</f>
        <v>0.60864519999999978</v>
      </c>
      <c r="AU35" s="129">
        <f t="array" ref="AU35">MAX(IF(ISNUMBER(AU3:AU32),AU3:AU32))-MIN(IF(ISNUMBER(AU3:AU32),AU3:AU32))</f>
        <v>0.84456128000000064</v>
      </c>
      <c r="AV35" s="129">
        <f t="array" ref="AV35">MAX(IF(ISNUMBER(AV3:AV32),AV3:AV32))-MIN(IF(ISNUMBER(AV3:AV32),AV3:AV32))</f>
        <v>0.69864031999999998</v>
      </c>
      <c r="AY35" s="129">
        <f t="array" ref="AY35">MAX(IF(ISNUMBER(AY3:AY32),AY3:AY32))-MIN(IF(ISNUMBER(AY3:AY32),AY3:AY32))</f>
        <v>4.2476999999999805</v>
      </c>
      <c r="AZ35" s="129">
        <f t="array" ref="AZ35">MAX(IF(ISNUMBER(AZ3:AZ32),AZ3:AZ32))-MIN(IF(ISNUMBER(AZ3:AZ32),AZ3:AZ32))</f>
        <v>3.1157000000000039</v>
      </c>
      <c r="BA35" s="129">
        <f t="array" ref="BA35">MAX(IF(ISNUMBER(BA3:BA32),BA3:BA32))-MIN(IF(ISNUMBER(BA3:BA32),BA3:BA32))</f>
        <v>2.4189999999999969</v>
      </c>
      <c r="BB35" s="129">
        <f t="array" ref="BB35">MAX(IF(ISNUMBER(BB3:BB32),BB3:BB32))-MIN(IF(ISNUMBER(BB3:BB32),BB3:BB32))</f>
        <v>35.421399999999998</v>
      </c>
      <c r="BC35" s="140"/>
      <c r="BG35" s="296" t="str">
        <f t="shared" si="73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0.62543527999999782</v>
      </c>
      <c r="BM35" s="129">
        <f t="array" ref="BM35">MAX(IF(ISNUMBER(BM3:BM32),BM3:BM32))-MIN(IF(ISNUMBER(BM3:BM32),BM3:BM32))</f>
        <v>0.60894967483741791</v>
      </c>
      <c r="BN35" s="129">
        <f t="array" ref="BN35">MAX(IF(ISNUMBER(BN3:BN32),BN3:BN32))-MIN(IF(ISNUMBER(BN3:BN32),BN3:BN32))</f>
        <v>0.84544900145152013</v>
      </c>
      <c r="BO35" s="129">
        <f t="array" ref="BO35">MAX(IF(ISNUMBER(BO3:BO32),BO3:BO32))-MIN(IF(ISNUMBER(BO3:BO32),BO3:BO32))</f>
        <v>0.70032109061748216</v>
      </c>
      <c r="BP35" s="14"/>
      <c r="BS35" s="229">
        <f t="array" ref="BS35">MAX(IF(ISNUMBER(BS3:BS32),BS3:BS32))-MIN(IF(ISNUMBER(BS3:BS32),BS3:BS32))</f>
        <v>4.5135302173811009E-3</v>
      </c>
      <c r="BT35" s="229">
        <f t="array" ref="BT35">MAX(IF(ISNUMBER(BT3:BT32),BT3:BT32))-MIN(IF(ISNUMBER(BT3:BT32),BT3:BT32))</f>
        <v>8.1458818073181782E-3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1.0675227546510908E-2</v>
      </c>
      <c r="BW35" s="14"/>
      <c r="BZ35" s="229">
        <f t="array" ref="BZ35">MAX(IF(ISNUMBER(BZ3:BZ32),BZ3:BZ32))-MIN(IF(ISNUMBER(BZ3:BZ32),BZ3:BZ32))</f>
        <v>4.5135302173811009E-3</v>
      </c>
      <c r="CA35" s="229">
        <f t="array" ref="CA35">MAX(IF(ISNUMBER(CA3:CA32),CA3:CA32))-MIN(IF(ISNUMBER(CA3:CA32),CA3:CA32))</f>
        <v>1.6650045887940279E-2</v>
      </c>
      <c r="CB35" s="229">
        <f t="array" ref="CB35">MAX(IF(ISNUMBER(CB3:CB32),CB3:CB32))-MIN(IF(ISNUMBER(CB3:CB32),CB3:CB32))</f>
        <v>8.1458818073181227E-3</v>
      </c>
      <c r="CC35" s="229">
        <f t="array" ref="CC35">MAX(IF(ISNUMBER(CC3:CC32),CC3:CC32))-MIN(IF(ISNUMBER(CC3:CC32),CC3:CC32))</f>
        <v>1.0675227546510846E-2</v>
      </c>
      <c r="CD35" s="13"/>
      <c r="CG35" s="129">
        <f t="array" ref="CG35">MAX(IF(ISNUMBER(CG3:CG32),CG3:CG32))-MIN(IF(ISNUMBER(CG3:CG32),CG3:CG32))</f>
        <v>7.4885810617484339E-2</v>
      </c>
      <c r="CH35" s="129">
        <f t="array" ref="CH35">MAX(IF(ISNUMBER(CH3:CH32),CH3:CH32))-MIN(IF(ISNUMBER(CH3:CH32),CH3:CH32))</f>
        <v>9.1371415780065135E-2</v>
      </c>
      <c r="CI35" s="129">
        <f t="array" ref="CI35">MAX(IF(ISNUMBER(CI3:CI32),CI3:CI32))-MIN(IF(ISNUMBER(CI3:CI32),CI3:CI32))</f>
        <v>0.14512791083404153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2.1932540680651424E-3</v>
      </c>
      <c r="CO35" s="229">
        <f t="array" ref="CO35">MAX(IF(ISNUMBER(CO3:CO32),CO3:CO32))-MIN(IF(ISNUMBER(CO3:CO32),CO3:CO32))</f>
        <v>1.7384981642407232E-3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2.1932540680651424E-3</v>
      </c>
      <c r="CV35" s="229">
        <f t="array" ref="CV35">MAX(IF(ISNUMBER(CV3:CV32),CV3:CV32))-MIN(IF(ISNUMBER(CV3:CV32),CV3:CV32))</f>
        <v>3.3356265269069985E-3</v>
      </c>
      <c r="CW35" s="229">
        <f t="array" ref="CW35">MAX(IF(ISNUMBER(CW3:CW32),CW3:CW32))-MIN(IF(ISNUMBER(CW3:CW32),CW3:CW32))</f>
        <v>1.7384981642407649E-3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70"/>
        <v>0</v>
      </c>
      <c r="J36" s="38">
        <f t="shared" si="71"/>
        <v>0</v>
      </c>
      <c r="K36" s="38">
        <f t="shared" si="72"/>
        <v>0</v>
      </c>
      <c r="AN36" s="117"/>
      <c r="AO36" s="157"/>
      <c r="AP36" s="173"/>
      <c r="AR36" s="128" t="s">
        <v>83</v>
      </c>
      <c r="AS36" s="229">
        <f>(AS34-AS38)/(((AS34+AS38))/2)</f>
        <v>0</v>
      </c>
      <c r="AT36" s="229">
        <f t="shared" ref="AT36:AV36" si="74">(AT34-AT38)/(((AT34+AT38))/2)</f>
        <v>0</v>
      </c>
      <c r="AU36" s="229">
        <f t="shared" si="74"/>
        <v>0</v>
      </c>
      <c r="AV36" s="229">
        <f t="shared" si="74"/>
        <v>0</v>
      </c>
      <c r="AY36" s="229">
        <f>(AY34-AY38)/(((AY34+AY38))/2)</f>
        <v>0</v>
      </c>
      <c r="AZ36" s="229">
        <f t="shared" ref="AZ36:BB36" si="75">(AZ34-AZ38)/(((AZ34+AZ38))/2)</f>
        <v>0</v>
      </c>
      <c r="BA36" s="229">
        <f t="shared" si="75"/>
        <v>0</v>
      </c>
      <c r="BB36" s="229">
        <f t="shared" si="75"/>
        <v>0</v>
      </c>
      <c r="BC36" s="140"/>
      <c r="BG36" s="296" t="str">
        <f t="shared" si="73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6">(BM34-BM38)/(((BM34+BM38))/2)</f>
        <v>0</v>
      </c>
      <c r="BN36" s="229">
        <f t="shared" si="76"/>
        <v>0</v>
      </c>
      <c r="BO36" s="229">
        <f t="shared" si="76"/>
        <v>0</v>
      </c>
      <c r="BP36" s="14"/>
      <c r="BS36" s="229">
        <f>(BS34-BS38)/(((BS34+BS38))/2)</f>
        <v>0</v>
      </c>
      <c r="BT36" s="229">
        <f t="shared" ref="BT36:BV36" si="77">(BT34-BT38)/(((BT34+BT38))/2)</f>
        <v>0</v>
      </c>
      <c r="BU36" s="229">
        <f t="shared" si="77"/>
        <v>0</v>
      </c>
      <c r="BV36" s="229">
        <f t="shared" si="77"/>
        <v>0</v>
      </c>
      <c r="BW36" s="14"/>
      <c r="BZ36" s="229">
        <f t="shared" ref="BZ36:CA36" si="78">(BZ34-BZ38)/(((BZ34+BZ38))/2)</f>
        <v>0</v>
      </c>
      <c r="CA36" s="229">
        <f t="shared" si="78"/>
        <v>0</v>
      </c>
      <c r="CB36" s="229">
        <f t="shared" ref="CB36:CC36" si="79">(CB34-CB38)/(((CB34+CB38))/2)</f>
        <v>0</v>
      </c>
      <c r="CC36" s="229">
        <f t="shared" si="79"/>
        <v>0</v>
      </c>
      <c r="CD36" s="13"/>
      <c r="CG36" s="229">
        <f>(CG34-CG38)/(((CG34+CG38))/2)</f>
        <v>0</v>
      </c>
      <c r="CH36" s="229">
        <f t="shared" ref="CH36:CI36" si="80">(CH34-CH38)/(((CH34+CH38))/2)</f>
        <v>0</v>
      </c>
      <c r="CI36" s="229">
        <f t="shared" si="80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81">(CO34-CO38)/(((CO34+CO38))/2)</f>
        <v>0</v>
      </c>
      <c r="CP36" s="229">
        <f t="shared" si="81"/>
        <v>0</v>
      </c>
      <c r="CQ36" s="229" t="e">
        <f t="shared" si="81"/>
        <v>#DIV/0!</v>
      </c>
      <c r="CR36" s="14"/>
      <c r="CU36" s="229">
        <f t="shared" ref="CU36:CV36" si="82">(CU34-CU38)/(((CU34+CU38))/2)</f>
        <v>0</v>
      </c>
      <c r="CV36" s="229">
        <f t="shared" si="82"/>
        <v>0</v>
      </c>
      <c r="CW36" s="229">
        <f t="shared" ref="CW36:CX36" si="83">(CW34-CW38)/(((CW34+CW38))/2)</f>
        <v>0</v>
      </c>
      <c r="CX36" s="229">
        <f t="shared" si="83"/>
        <v>0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2</v>
      </c>
      <c r="F37" s="52"/>
      <c r="G37" s="175"/>
      <c r="H37" s="291">
        <f t="shared" si="69"/>
        <v>2</v>
      </c>
      <c r="I37" s="291">
        <f t="shared" si="70"/>
        <v>2</v>
      </c>
      <c r="J37" s="291">
        <f t="shared" si="71"/>
        <v>2</v>
      </c>
      <c r="K37" s="291">
        <f t="shared" si="72"/>
        <v>2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2</v>
      </c>
      <c r="AT37" s="291">
        <f>COUNT(AT3:AT32)</f>
        <v>2</v>
      </c>
      <c r="AU37" s="291">
        <f>COUNT(AU3:AU32)</f>
        <v>2</v>
      </c>
      <c r="AV37" s="291">
        <f>COUNT(AV3:AV32)</f>
        <v>2</v>
      </c>
      <c r="AW37" s="292"/>
      <c r="AX37" s="290" t="str">
        <f>$AR37</f>
        <v>n</v>
      </c>
      <c r="AY37" s="291">
        <f>COUNT(AY3:AY32)</f>
        <v>2</v>
      </c>
      <c r="AZ37" s="291">
        <f>COUNT(AZ3:AZ32)</f>
        <v>2</v>
      </c>
      <c r="BA37" s="291">
        <f>COUNT(BA3:BA32)</f>
        <v>2</v>
      </c>
      <c r="BB37" s="291">
        <f>COUNT(BB3:BB32)</f>
        <v>2</v>
      </c>
      <c r="BC37" s="123"/>
      <c r="BD37" s="176"/>
      <c r="BE37" s="176"/>
      <c r="BF37" s="308"/>
      <c r="BG37" s="300" t="str">
        <f t="shared" si="73"/>
        <v>n</v>
      </c>
      <c r="BH37" s="300"/>
      <c r="BI37" s="291">
        <f>COUNT(BI3:BI32)</f>
        <v>2</v>
      </c>
      <c r="BJ37" s="54"/>
      <c r="BK37" s="290" t="str">
        <f>$AR37</f>
        <v>n</v>
      </c>
      <c r="BL37" s="291">
        <f>COUNT(BL3:BL32)</f>
        <v>2</v>
      </c>
      <c r="BM37" s="291">
        <f>COUNT(BM3:BM32)</f>
        <v>2</v>
      </c>
      <c r="BN37" s="291">
        <f>COUNT(BN3:BN32)</f>
        <v>2</v>
      </c>
      <c r="BO37" s="291">
        <f>COUNT(BO3:BO32)</f>
        <v>2</v>
      </c>
      <c r="BP37" s="177"/>
      <c r="BQ37" s="54"/>
      <c r="BR37" s="290" t="str">
        <f>$AR37</f>
        <v>n</v>
      </c>
      <c r="BS37" s="291">
        <f>COUNT(BS3:BS32)</f>
        <v>2</v>
      </c>
      <c r="BT37" s="291">
        <f>COUNT(BT3:BT32)</f>
        <v>2</v>
      </c>
      <c r="BU37" s="291">
        <f>COUNT(BU3:BU32)</f>
        <v>2</v>
      </c>
      <c r="BV37" s="291">
        <f>COUNT(BV3:BV32)</f>
        <v>2</v>
      </c>
      <c r="BW37" s="177"/>
      <c r="BX37" s="54"/>
      <c r="BY37" s="290" t="str">
        <f>$AR37</f>
        <v>n</v>
      </c>
      <c r="BZ37" s="291">
        <f>COUNT(BZ3:BZ32)</f>
        <v>2</v>
      </c>
      <c r="CA37" s="291">
        <f>COUNT(CA3:CA32)</f>
        <v>2</v>
      </c>
      <c r="CB37" s="291">
        <f>COUNT(CB3:CB32)</f>
        <v>2</v>
      </c>
      <c r="CC37" s="291">
        <f>COUNT(CC3:CC32)</f>
        <v>2</v>
      </c>
      <c r="CD37" s="178"/>
      <c r="CE37" s="54"/>
      <c r="CF37" s="290" t="str">
        <f>$AR37</f>
        <v>n</v>
      </c>
      <c r="CG37" s="291">
        <f>COUNT(CG3:CG32)</f>
        <v>2</v>
      </c>
      <c r="CH37" s="291">
        <f>COUNT(CH3:CH32)</f>
        <v>2</v>
      </c>
      <c r="CI37" s="291">
        <f>COUNT(CI3:CI32)</f>
        <v>2</v>
      </c>
      <c r="CJ37" s="291">
        <f>COUNT(CJ3:CJ32)</f>
        <v>2</v>
      </c>
      <c r="CK37" s="177"/>
      <c r="CL37" s="54"/>
      <c r="CM37" s="290" t="str">
        <f>$AR37</f>
        <v>n</v>
      </c>
      <c r="CN37" s="291">
        <f>COUNT(CN3:CN32)</f>
        <v>2</v>
      </c>
      <c r="CO37" s="291">
        <f>COUNT(CO3:CO32)</f>
        <v>2</v>
      </c>
      <c r="CP37" s="291">
        <f>COUNT(CP3:CP32)</f>
        <v>2</v>
      </c>
      <c r="CQ37" s="291">
        <f>COUNT(CQ3:CQ32)</f>
        <v>2</v>
      </c>
      <c r="CR37" s="177"/>
      <c r="CS37" s="54"/>
      <c r="CT37" s="290" t="str">
        <f>$AR37</f>
        <v>n</v>
      </c>
      <c r="CU37" s="291">
        <f>COUNT(CU3:CU32)</f>
        <v>2</v>
      </c>
      <c r="CV37" s="291">
        <f>COUNT(CV3:CV32)</f>
        <v>2</v>
      </c>
      <c r="CW37" s="291">
        <f>COUNT(CW3:CW32)</f>
        <v>2</v>
      </c>
      <c r="CX37" s="291">
        <f>COUNT(CX3:CX32)</f>
        <v>2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>
        <f t="shared" si="68"/>
        <v>2</v>
      </c>
      <c r="F38" s="214"/>
      <c r="G38" s="215"/>
      <c r="H38" s="295">
        <f t="shared" si="69"/>
        <v>25.352252359999998</v>
      </c>
      <c r="I38" s="295">
        <f t="shared" si="70"/>
        <v>7.5759693846923462</v>
      </c>
      <c r="J38" s="295">
        <f t="shared" si="71"/>
        <v>62.095715861654739</v>
      </c>
      <c r="K38" s="295">
        <f t="shared" si="72"/>
        <v>2.7517600641539697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25.352252359999998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7.5721814000000007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62.030515359999995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2.7451558400000002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132.20035000000001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125.92265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58.864699999999999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69.855499999999992</v>
      </c>
      <c r="BC38" s="231"/>
      <c r="BD38" s="232"/>
      <c r="BE38" s="232"/>
      <c r="BF38" s="237"/>
      <c r="BG38" s="309" t="str">
        <f t="shared" si="73"/>
        <v>Mean</v>
      </c>
      <c r="BH38" s="310">
        <f>BI37</f>
        <v>2</v>
      </c>
      <c r="BI38" s="311">
        <f>AVERAGE(BI3:BI32)</f>
        <v>2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25.352252359999998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7.5759693846923462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62.095715861654739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2.7517600641539697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0.40826163316286157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0.12197697615174127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4.4278476959059801E-2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0.59173836683713843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0.70127443133560052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0.8780230238482587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0.95572152304094016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22.600492295846031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4.8242093205383769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59.343955797500769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0.38084033273011175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8.1293407759197439E-2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0.61915966726988825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0.78654682342247217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0.91870659224080253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>
        <f t="shared" si="68"/>
        <v>0</v>
      </c>
      <c r="F39" s="214"/>
      <c r="G39" s="214"/>
      <c r="H39" s="295">
        <f t="shared" si="69"/>
        <v>0.44224952768121045</v>
      </c>
      <c r="I39" s="295">
        <f t="shared" si="70"/>
        <v>0.43059244447888911</v>
      </c>
      <c r="J39" s="295">
        <f t="shared" si="71"/>
        <v>0.59782272207365639</v>
      </c>
      <c r="K39" s="295">
        <f t="shared" si="72"/>
        <v>0.49520179218358035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>
        <f t="array" ref="AS39">STDEV(IF(ISNUMBER(AS3:AS32),AS3:AS32))</f>
        <v>0.44224952768121045</v>
      </c>
      <c r="AT39" s="293">
        <f t="array" ref="AT39">STDEV(IF(ISNUMBER(AT3:AT32),AT3:AT32))</f>
        <v>0.43037714825663631</v>
      </c>
      <c r="AU39" s="293">
        <f t="array" ref="AU39">STDEV(IF(ISNUMBER(AU3:AU32),AU3:AU32))</f>
        <v>0.59719500821610061</v>
      </c>
      <c r="AV39" s="293">
        <f t="array" ref="AV39">STDEV(IF(ISNUMBER(AV3:AV32),AV3:AV32))</f>
        <v>0.49401330788233805</v>
      </c>
      <c r="AW39" s="237"/>
      <c r="AX39" s="235" t="str">
        <f>$AR39</f>
        <v>SD</v>
      </c>
      <c r="AY39" s="293">
        <f t="array" ref="AY39">STDEV(IF(ISNUMBER(AY3:AY32),AY3:AY32))</f>
        <v>3.0035774744450765</v>
      </c>
      <c r="AZ39" s="293">
        <f t="array" ref="AZ39">STDEV(IF(ISNUMBER(AZ3:AZ32),AZ3:AZ32))</f>
        <v>2.2031325981433176</v>
      </c>
      <c r="BA39" s="293">
        <f t="array" ref="BA39">STDEV(IF(ISNUMBER(BA3:BA32),BA3:BA32))</f>
        <v>1.7104913036901843</v>
      </c>
      <c r="BB39" s="293">
        <f t="array" ref="BB39">STDEV(IF(ISNUMBER(BB3:BB32),BB3:BB32))</f>
        <v>25.046712139121201</v>
      </c>
      <c r="BC39" s="231"/>
      <c r="BD39" s="232"/>
      <c r="BE39" s="232"/>
      <c r="BF39" s="237"/>
      <c r="BG39" s="309" t="str">
        <f t="shared" si="73"/>
        <v>SD</v>
      </c>
      <c r="BH39" s="310">
        <f>BI37</f>
        <v>2</v>
      </c>
      <c r="BI39" s="311">
        <f>STDEV(BI3:BI32)</f>
        <v>0</v>
      </c>
      <c r="BJ39" s="232"/>
      <c r="BK39" s="235" t="str">
        <f>$AR39</f>
        <v>SD</v>
      </c>
      <c r="BL39" s="293">
        <f t="array" ref="BL39">STDEV(IF(ISNUMBER(BL3:BL32),BL3:BL32))</f>
        <v>0.44224952768121045</v>
      </c>
      <c r="BM39" s="293">
        <f t="array" ref="BM39">STDEV(IF(ISNUMBER(BM3:BM32),BM3:BM32))</f>
        <v>0.43059244447888911</v>
      </c>
      <c r="BN39" s="293">
        <f t="array" ref="BN39">STDEV(IF(ISNUMBER(BN3:BN32),BN3:BN32))</f>
        <v>0.59782272207365639</v>
      </c>
      <c r="BO39" s="293">
        <f t="array" ref="BO39">STDEV(IF(ISNUMBER(BO3:BO32),BO3:BO32))</f>
        <v>0.49520179218358035</v>
      </c>
      <c r="BP39" s="234"/>
      <c r="BQ39" s="232"/>
      <c r="BR39" s="235" t="str">
        <f>$AR39</f>
        <v>SD</v>
      </c>
      <c r="BS39" s="313">
        <f t="array" ref="BS39">STDEV(IF(ISNUMBER(BS3:BS32),BS3:BS32))</f>
        <v>3.1915478238005684E-3</v>
      </c>
      <c r="BT39" s="313">
        <f t="array" ref="BT39">STDEV(IF(ISNUMBER(BT3:BT32),BT3:BT32))</f>
        <v>5.7600082646988128E-3</v>
      </c>
      <c r="BU39" s="313">
        <f t="array" ref="BU39">STDEV(IF(ISNUMBER(BU3:BU32),BU3:BU32))</f>
        <v>0</v>
      </c>
      <c r="BV39" s="313">
        <f t="array" ref="BV39">STDEV(IF(ISNUMBER(BV3:BV32),BV3:BV32))</f>
        <v>7.5485257888472891E-3</v>
      </c>
      <c r="BW39" s="234"/>
      <c r="BX39" s="235"/>
      <c r="BY39" s="235" t="str">
        <f>$AR39</f>
        <v>SD</v>
      </c>
      <c r="BZ39" s="313">
        <f t="array" ref="BZ39">STDEV(IF(ISNUMBER(BZ3:BZ32),BZ3:BZ32))</f>
        <v>3.1915478238005684E-3</v>
      </c>
      <c r="CA39" s="313">
        <f t="array" ref="CA39">STDEV(IF(ISNUMBER(CA3:CA32),CA3:CA32))</f>
        <v>1.1773360354429763E-2</v>
      </c>
      <c r="CB39" s="313">
        <f t="array" ref="CB39">STDEV(IF(ISNUMBER(CB3:CB32),CB3:CB32))</f>
        <v>5.7600082646987747E-3</v>
      </c>
      <c r="CC39" s="313">
        <f t="array" ref="CC39">STDEV(IF(ISNUMBER(CC3:CC32),CC3:CC32))</f>
        <v>7.5485257888472492E-3</v>
      </c>
      <c r="CD39" s="234"/>
      <c r="CE39" s="238"/>
      <c r="CF39" s="235" t="str">
        <f>$AR39</f>
        <v>SD</v>
      </c>
      <c r="CG39" s="293">
        <f t="array" ref="CG39">STDEV(IF(ISNUMBER(CG3:CG32),CG3:CG32))</f>
        <v>5.2952264502274735E-2</v>
      </c>
      <c r="CH39" s="293">
        <f t="array" ref="CH39">STDEV(IF(ISNUMBER(CH3:CH32),CH3:CH32))</f>
        <v>6.4609347704699574E-2</v>
      </c>
      <c r="CI39" s="293">
        <f t="array" ref="CI39">STDEV(IF(ISNUMBER(CI3:CI32),CI3:CI32))</f>
        <v>0.10262092989018738</v>
      </c>
      <c r="CJ39" s="293">
        <f t="array" ref="CJ39">STDEV(IF(ISNUMBER(CJ3:CJ32),CJ3:CJ32))</f>
        <v>0</v>
      </c>
      <c r="CK39" s="234"/>
      <c r="CL39" s="238"/>
      <c r="CM39" s="235" t="str">
        <f>$AR39</f>
        <v>SD</v>
      </c>
      <c r="CN39" s="313">
        <f t="array" ref="CN39">STDEV(IF(ISNUMBER(CN3:CN32),CN3:CN32))</f>
        <v>1.5508648243938439E-3</v>
      </c>
      <c r="CO39" s="313">
        <f t="array" ref="CO39">STDEV(IF(ISNUMBER(CO3:CO32),CO3:CO32))</f>
        <v>1.2293038410149796E-3</v>
      </c>
      <c r="CP39" s="313">
        <f t="array" ref="CP39">STDEV(IF(ISNUMBER(CP3:CP32),CP3:CP32))</f>
        <v>0</v>
      </c>
      <c r="CQ39" s="313">
        <f t="array" ref="CQ39">STDEV(IF(ISNUMBER(CQ3:CQ32),CQ3:CQ32))</f>
        <v>0</v>
      </c>
      <c r="CR39" s="234"/>
      <c r="CS39" s="238"/>
      <c r="CT39" s="235" t="str">
        <f>$AR39</f>
        <v>SD</v>
      </c>
      <c r="CU39" s="313">
        <f t="array" ref="CU39">STDEV(IF(ISNUMBER(CU3:CU32),CU3:CU32))</f>
        <v>1.5508648243938439E-3</v>
      </c>
      <c r="CV39" s="313">
        <f t="array" ref="CV39">STDEV(IF(ISNUMBER(CV3:CV32),CV3:CV32))</f>
        <v>2.3586441366816703E-3</v>
      </c>
      <c r="CW39" s="313">
        <f t="array" ref="CW39">STDEV(IF(ISNUMBER(CW3:CW32),CW3:CW32))</f>
        <v>1.2293038410150091E-3</v>
      </c>
      <c r="CX39" s="313">
        <f t="array" ref="CX39">STDEV(IF(ISNUMBER(CX3:CX32),CX3:CX32))</f>
        <v>0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MIPNET10.04_CELLS_2005-04-09 P3-02.DLD</v>
      </c>
      <c r="C41" s="277"/>
      <c r="D41" s="30"/>
      <c r="F41" s="55" t="s">
        <v>16</v>
      </c>
      <c r="G41" s="56" t="str">
        <f>AC45</f>
        <v>3A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84">AK$1</f>
        <v>1Omy</v>
      </c>
      <c r="AL41" s="32" t="str">
        <f t="shared" si="84"/>
        <v>2U</v>
      </c>
      <c r="AM41" s="33" t="str">
        <f t="shared" si="84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>
        <f>E42</f>
        <v>1.01</v>
      </c>
      <c r="B42" s="286" t="s">
        <v>26</v>
      </c>
      <c r="C42" s="88" t="str">
        <f>AB47</f>
        <v>32D</v>
      </c>
      <c r="D42" s="88">
        <f>AB49</f>
        <v>0</v>
      </c>
      <c r="E42" s="278">
        <f>IF(ISNUMBER(AB50),AB50+0.01*AB51,"")</f>
        <v>1.01</v>
      </c>
      <c r="F42" s="279" t="s">
        <v>10</v>
      </c>
      <c r="G42" s="98">
        <f>AE53</f>
        <v>-1.0690999999999999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1.01</v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" si="85">AK46</f>
        <v>1</v>
      </c>
      <c r="AL42" s="182">
        <v>1.1000000000000001</v>
      </c>
      <c r="AM42" s="182">
        <v>2.7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1</v>
      </c>
      <c r="F43" s="279" t="s">
        <v>11</v>
      </c>
      <c r="G43" s="99">
        <f>AE54</f>
        <v>0.02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1</v>
      </c>
      <c r="AK43" s="60">
        <f>$E43-($E43*(SUM(AJ42:AK42))/1000)/2</f>
        <v>0.99950000000000006</v>
      </c>
      <c r="AL43" s="60">
        <f>$E43-($E43*(SUM(AJ42:AL42))/1000)/2</f>
        <v>0.99895</v>
      </c>
      <c r="AM43" s="60">
        <f>$E43-($E43*(SUM(AJ42:AM42))/1000)/2</f>
        <v>0.99760000000000004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 t="str">
        <f>AB46</f>
        <v>CCP</v>
      </c>
      <c r="C44" s="283" t="s">
        <v>7</v>
      </c>
      <c r="D44" s="283" t="s">
        <v>176</v>
      </c>
      <c r="E44" s="100">
        <f>AB53</f>
        <v>2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234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235</v>
      </c>
      <c r="AC45" s="245" t="s">
        <v>128</v>
      </c>
      <c r="AD45" s="246" t="s">
        <v>37</v>
      </c>
      <c r="AE45" s="247" t="s">
        <v>38</v>
      </c>
      <c r="AF45" s="248" t="s">
        <v>236</v>
      </c>
      <c r="AG45" s="102" t="s">
        <v>185</v>
      </c>
      <c r="AH45" s="15" t="s">
        <v>34</v>
      </c>
      <c r="AI45" s="15" t="s">
        <v>186</v>
      </c>
      <c r="AJ45" s="507" t="s">
        <v>165</v>
      </c>
      <c r="AK45" s="31" t="s">
        <v>179</v>
      </c>
      <c r="AL45" s="32" t="s">
        <v>180</v>
      </c>
      <c r="AM45" s="33" t="s">
        <v>207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178</v>
      </c>
      <c r="AC46" s="250"/>
      <c r="AD46" s="251" t="s">
        <v>40</v>
      </c>
      <c r="AE46" s="247">
        <v>37</v>
      </c>
      <c r="AF46" s="252" t="s">
        <v>187</v>
      </c>
      <c r="AG46" s="102"/>
      <c r="AH46" s="186" t="s">
        <v>188</v>
      </c>
      <c r="AI46" s="186"/>
      <c r="AJ46" s="133">
        <v>0</v>
      </c>
      <c r="AK46" s="133">
        <v>1</v>
      </c>
      <c r="AL46" s="133">
        <v>0.1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 t="s">
        <v>237</v>
      </c>
      <c r="AC47" s="254"/>
      <c r="AD47" s="158" t="s">
        <v>42</v>
      </c>
      <c r="AE47" s="117">
        <v>157.55000000000001</v>
      </c>
      <c r="AF47" s="255" t="s">
        <v>6</v>
      </c>
      <c r="AG47" s="14"/>
      <c r="AH47" s="186" t="s">
        <v>189</v>
      </c>
      <c r="AI47" s="186"/>
      <c r="AJ47" s="188">
        <v>1.1122685185185185E-2</v>
      </c>
      <c r="AK47" s="188">
        <v>1.5613425925925926E-2</v>
      </c>
      <c r="AL47" s="188">
        <v>3.5127314814814813E-2</v>
      </c>
      <c r="AM47" s="188">
        <v>6.1689814814814815E-2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>
        <v>6.4455999999999998</v>
      </c>
      <c r="AF48" s="255" t="s">
        <v>190</v>
      </c>
      <c r="AG48" s="14"/>
      <c r="AH48" s="186" t="s">
        <v>191</v>
      </c>
      <c r="AI48" s="188"/>
      <c r="AJ48" s="188">
        <v>1.2939814814814814E-2</v>
      </c>
      <c r="AK48" s="188">
        <v>1.7303240740740741E-2</v>
      </c>
      <c r="AL48" s="188">
        <v>3.5868055555555556E-2</v>
      </c>
      <c r="AM48" s="188">
        <v>6.3101851851851853E-2</v>
      </c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2.1499999999999998E-2</v>
      </c>
      <c r="AF49" s="255" t="s">
        <v>190</v>
      </c>
      <c r="AG49" s="177"/>
      <c r="AH49" s="189" t="s">
        <v>192</v>
      </c>
      <c r="AI49" s="190"/>
      <c r="AJ49" s="189">
        <v>78</v>
      </c>
      <c r="AK49" s="189">
        <v>73</v>
      </c>
      <c r="AL49" s="189">
        <v>32</v>
      </c>
      <c r="AM49" s="189">
        <v>61</v>
      </c>
      <c r="AP49" s="74"/>
      <c r="AQ49" s="69">
        <f>BN51</f>
        <v>62.518440362380495</v>
      </c>
      <c r="AR49" s="70">
        <f>BO51</f>
        <v>3.1019206094627108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1</v>
      </c>
      <c r="AC50" s="254"/>
      <c r="AD50" s="158" t="s">
        <v>47</v>
      </c>
      <c r="AE50" s="117">
        <v>86.3</v>
      </c>
      <c r="AF50" s="255" t="s">
        <v>193</v>
      </c>
      <c r="AG50" s="103"/>
      <c r="AH50" s="104" t="s">
        <v>238</v>
      </c>
      <c r="AI50" s="16" t="s">
        <v>6</v>
      </c>
      <c r="AJ50" s="71">
        <v>130.07650000000001</v>
      </c>
      <c r="AK50" s="71">
        <v>124.3648</v>
      </c>
      <c r="AL50" s="71">
        <v>57.655200000000001</v>
      </c>
      <c r="AM50" s="71">
        <v>87.566199999999995</v>
      </c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6">AT$1</f>
        <v>1Omy</v>
      </c>
      <c r="AU50" s="32" t="str">
        <f t="shared" si="86"/>
        <v>2U</v>
      </c>
      <c r="AV50" s="33" t="str">
        <f t="shared" si="86"/>
        <v>3Ama</v>
      </c>
      <c r="AW50" s="113" t="str">
        <f>AQ50</f>
        <v>Quantity</v>
      </c>
      <c r="AX50" s="113" t="str">
        <f>AR50</f>
        <v>Units</v>
      </c>
      <c r="AY50" s="507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3Ama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7">BM$1</f>
        <v>1Omy</v>
      </c>
      <c r="BN50" s="32" t="str">
        <f t="shared" si="87"/>
        <v>2U</v>
      </c>
      <c r="BO50" s="33" t="str">
        <f t="shared" si="87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8">BT$1</f>
        <v>1Omy</v>
      </c>
      <c r="BU50" s="32" t="str">
        <f t="shared" si="88"/>
        <v>2U</v>
      </c>
      <c r="BV50" s="33" t="str">
        <f t="shared" si="88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9">CA$1</f>
        <v>1-Omy/R</v>
      </c>
      <c r="CB50" s="32" t="str">
        <f t="shared" si="89"/>
        <v>1-Omy/U</v>
      </c>
      <c r="CC50" s="33" t="str">
        <f t="shared" si="89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90">CH$1</f>
        <v>1Omy</v>
      </c>
      <c r="CI50" s="32" t="str">
        <f t="shared" si="90"/>
        <v>2U</v>
      </c>
      <c r="CJ50" s="33" t="str">
        <f t="shared" si="90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91">CO$1</f>
        <v>1Omy</v>
      </c>
      <c r="CP50" s="32" t="str">
        <f t="shared" si="91"/>
        <v>2U</v>
      </c>
      <c r="CQ50" s="33" t="str">
        <f t="shared" si="91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92">CV$1</f>
        <v>1-Omy/R</v>
      </c>
      <c r="CW50" s="32" t="str">
        <f t="shared" si="92"/>
        <v>1-Omy/U</v>
      </c>
      <c r="CX50" s="33" t="str">
        <f t="shared" si="92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194</v>
      </c>
      <c r="AH51" s="106" t="s">
        <v>239</v>
      </c>
      <c r="AI51" s="17" t="s">
        <v>4</v>
      </c>
      <c r="AJ51" s="8">
        <v>27.197399999999998</v>
      </c>
      <c r="AK51" s="8">
        <v>9.2947000000000006</v>
      </c>
      <c r="AL51" s="8">
        <v>62.536799999999999</v>
      </c>
      <c r="AM51" s="8">
        <v>3.7766999999999999</v>
      </c>
      <c r="AP51" s="459">
        <f>E42</f>
        <v>1.01</v>
      </c>
      <c r="AQ51" s="510" t="s">
        <v>5</v>
      </c>
      <c r="AR51" s="37" t="s">
        <v>4</v>
      </c>
      <c r="AS51" s="21">
        <f>IF(ISNUMBER(AJ51),AJ51-($G43*AJ50+$G42),"")</f>
        <v>25.664969999999997</v>
      </c>
      <c r="AT51" s="21">
        <f>IF(ISNUMBER(AK51),AK51-($G43*AK50+$G42),"")</f>
        <v>7.8765040000000006</v>
      </c>
      <c r="AU51" s="21">
        <f>IF(ISNUMBER(AL51),AL51-($G43*AL50+$G42),"")</f>
        <v>62.452795999999999</v>
      </c>
      <c r="AV51" s="21">
        <f>IF(ISNUMBER(AM51),AM51-($G43*AM50+$G42),"")</f>
        <v>3.0944760000000002</v>
      </c>
      <c r="AW51" s="107" t="str">
        <f>$AH50</f>
        <v>3A: O2 concentration</v>
      </c>
      <c r="AX51" s="107" t="str">
        <f>$AI50</f>
        <v>µM</v>
      </c>
      <c r="AY51" s="73">
        <f>IF(ISNUMBER(AJ50),AJ50,"")</f>
        <v>130.07650000000001</v>
      </c>
      <c r="AZ51" s="73">
        <f>IF(ISNUMBER(AK50),AK50,"")</f>
        <v>124.3648</v>
      </c>
      <c r="BA51" s="73">
        <f>IF(ISNUMBER(AL50),AL50,"")</f>
        <v>57.655200000000001</v>
      </c>
      <c r="BB51" s="73">
        <f t="shared" ref="BB51" si="93">IF(ISNUMBER(AM50),AM50,"")</f>
        <v>87.566199999999995</v>
      </c>
      <c r="BC51" s="166"/>
      <c r="BD51" s="176" t="str">
        <f>$AA44</f>
        <v>MIPNET10.04_CELLS_2005-04-09 P3-02.DLD</v>
      </c>
      <c r="BE51" s="193">
        <f>$D42</f>
        <v>0</v>
      </c>
      <c r="BF51" s="124">
        <f>$B43</f>
        <v>0</v>
      </c>
      <c r="BG51" s="194">
        <f>$E42</f>
        <v>1.01</v>
      </c>
      <c r="BH51" s="195"/>
      <c r="BI51" s="196">
        <f>IF(ISNUMBER($AB53),$AB53,"")</f>
        <v>2</v>
      </c>
      <c r="BJ51" s="511" t="str">
        <f>AH2</f>
        <v>O2 flow per cells</v>
      </c>
      <c r="BK51" s="511" t="str">
        <f>AI2</f>
        <v>pmol/(s*Mill)</v>
      </c>
      <c r="BL51" s="7">
        <f>IF(ISNUMBER(AS51),AS51/AJ43,"")</f>
        <v>25.664969999999997</v>
      </c>
      <c r="BM51" s="7">
        <f>IF(ISNUMBER(AT51),AT51/AK43,"")</f>
        <v>7.8804442221110556</v>
      </c>
      <c r="BN51" s="7">
        <f>IF(ISNUMBER(AU51),AU51/AL43,"")</f>
        <v>62.518440362380495</v>
      </c>
      <c r="BO51" s="7">
        <f>IF(ISNUMBER(AV51),AV51/AM43,"")</f>
        <v>3.1019206094627108</v>
      </c>
      <c r="BP51" s="194">
        <f>$E42</f>
        <v>1.01</v>
      </c>
      <c r="BQ51" s="6" t="s">
        <v>19</v>
      </c>
      <c r="BR51" s="6" t="s">
        <v>20</v>
      </c>
      <c r="BS51" s="5">
        <f>IF(ISNUMBER(BL51),BL51/$AQ49,"")</f>
        <v>0.41051839827155212</v>
      </c>
      <c r="BT51" s="5">
        <f>IF(ISNUMBER(BM51),BM51/$AQ49,"")</f>
        <v>0.12604991705540036</v>
      </c>
      <c r="BU51" s="5">
        <f t="shared" ref="BU51" si="94">IF(ISNUMBER(BN51),BN51/$AQ49,"")</f>
        <v>1</v>
      </c>
      <c r="BV51" s="5">
        <f>IF(ISNUMBER(BO51),BO51/$AQ49,"")</f>
        <v>4.9616090732315252E-2</v>
      </c>
      <c r="BW51" s="194">
        <f>$E42</f>
        <v>1.01</v>
      </c>
      <c r="BX51" s="6" t="s">
        <v>18</v>
      </c>
      <c r="BY51" s="6" t="s">
        <v>21</v>
      </c>
      <c r="BZ51" s="5">
        <f>IF(ISNUMBER(BN51),1-BL51/BN51,"")</f>
        <v>0.58948160172844788</v>
      </c>
      <c r="CA51" s="5">
        <f>IF(ISNUMBER(BM51),1-BM51/BL51,"")</f>
        <v>0.69294940839163044</v>
      </c>
      <c r="CB51" s="5">
        <f>IF(ISNUMBER(BM51),1-BM51/BN51,"")</f>
        <v>0.87395008294459964</v>
      </c>
      <c r="CC51" s="5">
        <f>IF(ISNUMBER(BN51),1-BO51/BN51,"")</f>
        <v>0.95038390926768479</v>
      </c>
      <c r="CD51" s="194">
        <f>$E42</f>
        <v>1.01</v>
      </c>
      <c r="CE51" s="511" t="str">
        <f>AH3</f>
        <v>O2 flow per cells (mt: ROX-corr.)</v>
      </c>
      <c r="CF51" s="511" t="str">
        <f>AI2</f>
        <v>pmol/(s*Mill)</v>
      </c>
      <c r="CG51" s="7">
        <f>IF(ISNUMBER(BL51),BL51-$AR49,"")</f>
        <v>22.563049390537287</v>
      </c>
      <c r="CH51" s="7">
        <f>IF(ISNUMBER(BM51),BM51-$AR49,"")</f>
        <v>4.7785236126483444</v>
      </c>
      <c r="CI51" s="7">
        <f>IF(ISNUMBER(BN51),BN51-$AR49,"")</f>
        <v>59.416519752917786</v>
      </c>
      <c r="CJ51" s="7">
        <f>IF(ISNUMBER(BO51),BO51-$AR49,"")</f>
        <v>0</v>
      </c>
      <c r="CK51" s="194">
        <f>$E42</f>
        <v>1.01</v>
      </c>
      <c r="CL51" s="6" t="s">
        <v>3</v>
      </c>
      <c r="CM51" s="6" t="s">
        <v>1</v>
      </c>
      <c r="CN51" s="5">
        <f>IF(ISNUMBER(CG51),CG51/($AQ49-$AR49),"")</f>
        <v>0.37974370569607918</v>
      </c>
      <c r="CO51" s="5">
        <f>IF(ISNUMBER(CH51),CH51/($AQ49-$AR49),"")</f>
        <v>8.0424158677077071E-2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1.01</v>
      </c>
      <c r="CS51" s="6" t="s">
        <v>2</v>
      </c>
      <c r="CT51" s="6" t="s">
        <v>1</v>
      </c>
      <c r="CU51" s="5">
        <f>IF(ISNUMBER(CI51),1-CG51/CI51,"")</f>
        <v>0.62025629430392082</v>
      </c>
      <c r="CV51" s="5">
        <f>IF(ISNUMBER(CH51),1-CH51/CG51,"")</f>
        <v>0.78821463668592562</v>
      </c>
      <c r="CW51" s="5">
        <f>IF(ISNUMBER(CH51),1-CH51/CI51,"")</f>
        <v>0.91957584132292292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</v>
      </c>
      <c r="AC52" s="259" t="s">
        <v>195</v>
      </c>
      <c r="AD52" s="158" t="s">
        <v>196</v>
      </c>
      <c r="AE52" s="256" t="s">
        <v>240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</v>
      </c>
      <c r="AC53" s="261" t="s">
        <v>197</v>
      </c>
      <c r="AD53" s="262" t="s">
        <v>52</v>
      </c>
      <c r="AE53" s="263">
        <v>-1.0690999999999999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0.02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MIPNET10.04_CELLS_2005-04-09 P3-02.DLD</v>
      </c>
      <c r="C61" s="277"/>
      <c r="F61" s="55" t="s">
        <v>16</v>
      </c>
      <c r="G61" s="56" t="str">
        <f>AC65</f>
        <v>3B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5">AK$1</f>
        <v>1Omy</v>
      </c>
      <c r="AL61" s="32" t="str">
        <f t="shared" si="95"/>
        <v>2U</v>
      </c>
      <c r="AM61" s="33" t="str">
        <f t="shared" si="95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>
        <f>E62</f>
        <v>1.02</v>
      </c>
      <c r="B62" s="286" t="s">
        <v>26</v>
      </c>
      <c r="C62" s="88" t="str">
        <f>AB67</f>
        <v>32D</v>
      </c>
      <c r="D62" s="88">
        <f>AB69</f>
        <v>0</v>
      </c>
      <c r="E62" s="278">
        <f>IF(ISNUMBER(AB70),AB70+0.01*AB71,"")</f>
        <v>1.02</v>
      </c>
      <c r="F62" s="279" t="s">
        <v>10</v>
      </c>
      <c r="G62" s="98">
        <f>AE73</f>
        <v>-0.81879999999999997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>
        <f>$E62</f>
        <v>1.02</v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" si="96">AK66</f>
        <v>1</v>
      </c>
      <c r="AL62" s="182">
        <v>1.1000000000000001</v>
      </c>
      <c r="AM62" s="182">
        <v>2.7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1</v>
      </c>
      <c r="F63" s="279" t="s">
        <v>11</v>
      </c>
      <c r="G63" s="99">
        <f>AE74</f>
        <v>1.84E-2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1</v>
      </c>
      <c r="AK63" s="60">
        <f>$E63-($E63*(SUM(AJ62:AK62))/1000)/2</f>
        <v>0.99950000000000006</v>
      </c>
      <c r="AL63" s="60">
        <f>$E63-($E63*(SUM(AJ62:AL62))/1000)/2</f>
        <v>0.99895</v>
      </c>
      <c r="AM63" s="60">
        <f>$E63-($E63*(SUM(AJ62:AM62))/1000)/2</f>
        <v>0.99760000000000004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 t="str">
        <f>AB66</f>
        <v>CCP</v>
      </c>
      <c r="C64" s="283" t="s">
        <v>7</v>
      </c>
      <c r="D64" s="283" t="s">
        <v>176</v>
      </c>
      <c r="E64" s="100">
        <f>AB73</f>
        <v>2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234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235</v>
      </c>
      <c r="AC65" s="245" t="s">
        <v>129</v>
      </c>
      <c r="AD65" s="246" t="s">
        <v>37</v>
      </c>
      <c r="AE65" s="247" t="s">
        <v>38</v>
      </c>
      <c r="AF65" s="248" t="s">
        <v>241</v>
      </c>
      <c r="AG65" s="102" t="s">
        <v>185</v>
      </c>
      <c r="AH65" s="15" t="s">
        <v>34</v>
      </c>
      <c r="AI65" s="15" t="s">
        <v>186</v>
      </c>
      <c r="AJ65" s="507" t="s">
        <v>165</v>
      </c>
      <c r="AK65" s="31" t="s">
        <v>179</v>
      </c>
      <c r="AL65" s="32" t="s">
        <v>180</v>
      </c>
      <c r="AM65" s="33" t="s">
        <v>207</v>
      </c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 t="s">
        <v>178</v>
      </c>
      <c r="AC66" s="250"/>
      <c r="AD66" s="251" t="s">
        <v>40</v>
      </c>
      <c r="AE66" s="247">
        <v>37</v>
      </c>
      <c r="AF66" s="252" t="s">
        <v>187</v>
      </c>
      <c r="AG66" s="102"/>
      <c r="AH66" s="186" t="s">
        <v>188</v>
      </c>
      <c r="AI66" s="186"/>
      <c r="AJ66" s="133">
        <v>0</v>
      </c>
      <c r="AK66" s="133">
        <v>1</v>
      </c>
      <c r="AL66" s="133">
        <v>0.1</v>
      </c>
      <c r="AM66" s="133">
        <v>2</v>
      </c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 t="s">
        <v>237</v>
      </c>
      <c r="AC67" s="254"/>
      <c r="AD67" s="158" t="s">
        <v>42</v>
      </c>
      <c r="AE67" s="117">
        <v>157.55000000000001</v>
      </c>
      <c r="AF67" s="255" t="s">
        <v>6</v>
      </c>
      <c r="AG67" s="14"/>
      <c r="AH67" s="186" t="s">
        <v>189</v>
      </c>
      <c r="AI67" s="186"/>
      <c r="AJ67" s="188">
        <v>1.0798611111111111E-2</v>
      </c>
      <c r="AK67" s="188">
        <v>1.5636574074074074E-2</v>
      </c>
      <c r="AL67" s="188">
        <v>3.5578703703703703E-2</v>
      </c>
      <c r="AM67" s="188">
        <v>6.159722222222222E-2</v>
      </c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>
        <v>6.6597</v>
      </c>
      <c r="AF68" s="255" t="s">
        <v>190</v>
      </c>
      <c r="AG68" s="14"/>
      <c r="AH68" s="186" t="s">
        <v>191</v>
      </c>
      <c r="AI68" s="188"/>
      <c r="AJ68" s="188">
        <v>1.2812499999999999E-2</v>
      </c>
      <c r="AK68" s="188">
        <v>1.741898148148148E-2</v>
      </c>
      <c r="AL68" s="188">
        <v>3.5891203703703703E-2</v>
      </c>
      <c r="AM68" s="188">
        <v>6.3078703703703706E-2</v>
      </c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>
        <v>1.37E-2</v>
      </c>
      <c r="AF69" s="255" t="s">
        <v>190</v>
      </c>
      <c r="AG69" s="177"/>
      <c r="AH69" s="189" t="s">
        <v>192</v>
      </c>
      <c r="AI69" s="190"/>
      <c r="AJ69" s="189">
        <v>87</v>
      </c>
      <c r="AK69" s="189">
        <v>77</v>
      </c>
      <c r="AL69" s="189">
        <v>13</v>
      </c>
      <c r="AM69" s="189">
        <v>65</v>
      </c>
      <c r="AP69" s="74"/>
      <c r="AQ69" s="69">
        <f>BN71</f>
        <v>61.672991360928975</v>
      </c>
      <c r="AR69" s="70">
        <f>BO71</f>
        <v>2.4015995188452286</v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>
        <v>1</v>
      </c>
      <c r="AC70" s="254"/>
      <c r="AD70" s="158" t="s">
        <v>47</v>
      </c>
      <c r="AE70" s="117">
        <v>86.3</v>
      </c>
      <c r="AF70" s="255" t="s">
        <v>193</v>
      </c>
      <c r="AG70" s="103"/>
      <c r="AH70" s="104" t="s">
        <v>242</v>
      </c>
      <c r="AI70" s="16" t="s">
        <v>6</v>
      </c>
      <c r="AJ70" s="71">
        <v>134.32419999999999</v>
      </c>
      <c r="AK70" s="71">
        <v>127.48050000000001</v>
      </c>
      <c r="AL70" s="71">
        <v>60.074199999999998</v>
      </c>
      <c r="AM70" s="71">
        <v>52.144799999999996</v>
      </c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7">AT$1</f>
        <v>1Omy</v>
      </c>
      <c r="AU70" s="32" t="str">
        <f t="shared" si="97"/>
        <v>2U</v>
      </c>
      <c r="AV70" s="33" t="str">
        <f t="shared" si="97"/>
        <v>3Ama</v>
      </c>
      <c r="AW70" s="113" t="str">
        <f>AQ70</f>
        <v>Quantity</v>
      </c>
      <c r="AX70" s="113" t="str">
        <f>AR70</f>
        <v>Units</v>
      </c>
      <c r="AY70" s="507" t="str">
        <f>AJ65</f>
        <v>R</v>
      </c>
      <c r="AZ70" s="31" t="str">
        <f>AK65</f>
        <v>1Omy</v>
      </c>
      <c r="BA70" s="32" t="str">
        <f>AL65</f>
        <v>2U</v>
      </c>
      <c r="BB70" s="33" t="str">
        <f>AM65</f>
        <v>3Ama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8">BM$1</f>
        <v>1Omy</v>
      </c>
      <c r="BN70" s="32" t="str">
        <f t="shared" si="98"/>
        <v>2U</v>
      </c>
      <c r="BO70" s="33" t="str">
        <f t="shared" si="98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9">BT$1</f>
        <v>1Omy</v>
      </c>
      <c r="BU70" s="32" t="str">
        <f t="shared" si="99"/>
        <v>2U</v>
      </c>
      <c r="BV70" s="33" t="str">
        <f t="shared" si="99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100">CA$1</f>
        <v>1-Omy/R</v>
      </c>
      <c r="CB70" s="32" t="str">
        <f t="shared" si="100"/>
        <v>1-Omy/U</v>
      </c>
      <c r="CC70" s="33" t="str">
        <f t="shared" si="100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101">CH$1</f>
        <v>1Omy</v>
      </c>
      <c r="CI70" s="32" t="str">
        <f t="shared" si="101"/>
        <v>2U</v>
      </c>
      <c r="CJ70" s="33" t="str">
        <f t="shared" si="101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102">CO$1</f>
        <v>1Omy</v>
      </c>
      <c r="CP70" s="32" t="str">
        <f t="shared" si="102"/>
        <v>2U</v>
      </c>
      <c r="CQ70" s="33" t="str">
        <f t="shared" si="102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103">CV$1</f>
        <v>1-Omy/R</v>
      </c>
      <c r="CW70" s="32" t="str">
        <f t="shared" si="103"/>
        <v>1-Omy/U</v>
      </c>
      <c r="CX70" s="33" t="str">
        <f t="shared" si="103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>
        <v>2</v>
      </c>
      <c r="AC71" s="254"/>
      <c r="AD71" s="158" t="s">
        <v>49</v>
      </c>
      <c r="AE71" s="117">
        <v>0.89</v>
      </c>
      <c r="AF71" s="255"/>
      <c r="AG71" s="105" t="s">
        <v>194</v>
      </c>
      <c r="AH71" s="106" t="s">
        <v>243</v>
      </c>
      <c r="AI71" s="17" t="s">
        <v>4</v>
      </c>
      <c r="AJ71" s="8">
        <v>26.692299999999999</v>
      </c>
      <c r="AK71" s="8">
        <v>8.7947000000000006</v>
      </c>
      <c r="AL71" s="8">
        <v>61.894799999999996</v>
      </c>
      <c r="AM71" s="8">
        <v>2.5365000000000002</v>
      </c>
      <c r="AP71" s="459">
        <f>E62</f>
        <v>1.02</v>
      </c>
      <c r="AQ71" s="510" t="s">
        <v>5</v>
      </c>
      <c r="AR71" s="510" t="s">
        <v>4</v>
      </c>
      <c r="AS71" s="21">
        <f>IF(ISNUMBER(AJ71),AJ71-($G63*AJ70+$G62),"")</f>
        <v>25.039534719999999</v>
      </c>
      <c r="AT71" s="21">
        <f>IF(ISNUMBER(AK71),AK71-($G63*AK70+$G62),"")</f>
        <v>7.2678588000000008</v>
      </c>
      <c r="AU71" s="21">
        <f>IF(ISNUMBER(AL71),AL71-($G63*AL70+$G62),"")</f>
        <v>61.608234719999999</v>
      </c>
      <c r="AV71" s="21">
        <f>IF(ISNUMBER(AM71),AM71-($G63*AM70+$G62),"")</f>
        <v>2.3958356800000002</v>
      </c>
      <c r="AW71" s="107" t="str">
        <f>$AH70</f>
        <v>3B: O2 concentration</v>
      </c>
      <c r="AX71" s="107" t="str">
        <f>$AI70</f>
        <v>µM</v>
      </c>
      <c r="AY71" s="73">
        <f>IF(ISNUMBER(AJ70),AJ70,"")</f>
        <v>134.32419999999999</v>
      </c>
      <c r="AZ71" s="73">
        <f>IF(ISNUMBER(AK70),AK70,"")</f>
        <v>127.48050000000001</v>
      </c>
      <c r="BA71" s="73">
        <f t="shared" ref="BA71" si="104">IF(ISNUMBER(AL70),AL70,"")</f>
        <v>60.074199999999998</v>
      </c>
      <c r="BB71" s="73">
        <f t="shared" ref="BB71" si="105">IF(ISNUMBER(AM70),AM70,"")</f>
        <v>52.144799999999996</v>
      </c>
      <c r="BC71" s="166"/>
      <c r="BD71" s="176" t="str">
        <f>$AA64</f>
        <v>MIPNET10.04_CELLS_2005-04-09 P3-02.DLD</v>
      </c>
      <c r="BE71" s="193">
        <f>$D62</f>
        <v>0</v>
      </c>
      <c r="BF71" s="124">
        <f>$B63</f>
        <v>0</v>
      </c>
      <c r="BG71" s="194">
        <f>$E62</f>
        <v>1.02</v>
      </c>
      <c r="BH71" s="195"/>
      <c r="BI71" s="196">
        <f>IF(ISNUMBER($AB73),$AB73,"")</f>
        <v>2</v>
      </c>
      <c r="BJ71" s="511" t="str">
        <f>AH2</f>
        <v>O2 flow per cells</v>
      </c>
      <c r="BK71" s="511" t="str">
        <f>AI2</f>
        <v>pmol/(s*Mill)</v>
      </c>
      <c r="BL71" s="7">
        <f>IF(ISNUMBER(AS71),AS71/AJ63,"")</f>
        <v>25.039534719999999</v>
      </c>
      <c r="BM71" s="7">
        <f>IF(ISNUMBER(AT71),AT71/AK63,"")</f>
        <v>7.2714945472736376</v>
      </c>
      <c r="BN71" s="7">
        <f>IF(ISNUMBER(AU71),AU71/AL63,"")</f>
        <v>61.672991360928975</v>
      </c>
      <c r="BO71" s="7">
        <f>IF(ISNUMBER(AV71),AV71/AM63,"")</f>
        <v>2.4015995188452286</v>
      </c>
      <c r="BP71" s="194">
        <f>$E62</f>
        <v>1.02</v>
      </c>
      <c r="BQ71" s="6" t="s">
        <v>19</v>
      </c>
      <c r="BR71" s="6" t="s">
        <v>20</v>
      </c>
      <c r="BS71" s="5">
        <f>IF(ISNUMBER(BL71),BL71/$AQ69,"")</f>
        <v>0.40600486805417102</v>
      </c>
      <c r="BT71" s="5">
        <f>IF(ISNUMBER(BM71),BM71/$AQ69,"")</f>
        <v>0.11790403524808218</v>
      </c>
      <c r="BU71" s="5">
        <f>IF(ISNUMBER(BN71),BN71/$AQ69,"")</f>
        <v>1</v>
      </c>
      <c r="BV71" s="5">
        <f>IF(ISNUMBER(BO71),BO71/$AQ69,"")</f>
        <v>3.8940863185804343E-2</v>
      </c>
      <c r="BW71" s="194">
        <f>$E62</f>
        <v>1.02</v>
      </c>
      <c r="BX71" s="6" t="s">
        <v>18</v>
      </c>
      <c r="BY71" s="6" t="s">
        <v>21</v>
      </c>
      <c r="BZ71" s="5">
        <f>IF(ISNUMBER(BN71),1-BL71/BN71,"")</f>
        <v>0.59399513194582898</v>
      </c>
      <c r="CA71" s="5">
        <f>IF(ISNUMBER(BM71),1-BM71/BL71,"")</f>
        <v>0.70959945427957072</v>
      </c>
      <c r="CB71" s="5">
        <f>IF(ISNUMBER(BM71),1-BM71/BN71,"")</f>
        <v>0.88209596475191776</v>
      </c>
      <c r="CC71" s="5">
        <f>IF(ISNUMBER(BN71),1-BO71/BN71,"")</f>
        <v>0.96105913681419564</v>
      </c>
      <c r="CD71" s="194">
        <f>$E62</f>
        <v>1.02</v>
      </c>
      <c r="CE71" s="511" t="str">
        <f>AH3</f>
        <v>O2 flow per cells (mt: ROX-corr.)</v>
      </c>
      <c r="CF71" s="511" t="str">
        <f>AI2</f>
        <v>pmol/(s*Mill)</v>
      </c>
      <c r="CG71" s="7">
        <f>IF(ISNUMBER(BL71),BL71-$AR69,"")</f>
        <v>22.637935201154772</v>
      </c>
      <c r="CH71" s="7">
        <f t="shared" ref="CH71" si="106">IF(ISNUMBER(BM71),BM71-$AR69,"")</f>
        <v>4.8698950284284095</v>
      </c>
      <c r="CI71" s="7">
        <f t="shared" ref="CI71" si="107">IF(ISNUMBER(BN71),BN71-$AR69,"")</f>
        <v>59.271391842083744</v>
      </c>
      <c r="CJ71" s="7">
        <f t="shared" ref="CJ71" si="108">IF(ISNUMBER(BO71),BO71-$AR69,"")</f>
        <v>0</v>
      </c>
      <c r="CK71" s="194">
        <f>$E62</f>
        <v>1.02</v>
      </c>
      <c r="CL71" s="6" t="s">
        <v>3</v>
      </c>
      <c r="CM71" s="6" t="s">
        <v>1</v>
      </c>
      <c r="CN71" s="5">
        <f>IF(ISNUMBER(CG71),CG71/($AQ69-$AR69),"")</f>
        <v>0.38193695976414432</v>
      </c>
      <c r="CO71" s="5">
        <f t="shared" ref="CO71" si="109">IF(ISNUMBER(CH71),CH71/($AQ69-$AR69),"")</f>
        <v>8.2162656841317794E-2</v>
      </c>
      <c r="CP71" s="5">
        <f t="shared" ref="CP71" si="110">IF(ISNUMBER(CI71),CI71/($AQ69-$AR69),"")</f>
        <v>1</v>
      </c>
      <c r="CQ71" s="5">
        <f t="shared" ref="CQ71" si="111">IF(ISNUMBER(CJ71),CJ71/($AQ69-$AR69),"")</f>
        <v>0</v>
      </c>
      <c r="CR71" s="194">
        <f>$E62</f>
        <v>1.02</v>
      </c>
      <c r="CS71" s="6" t="s">
        <v>2</v>
      </c>
      <c r="CT71" s="6" t="s">
        <v>1</v>
      </c>
      <c r="CU71" s="5">
        <f>IF(ISNUMBER(CI71),1-CG71/CI71,"")</f>
        <v>0.61806304023585568</v>
      </c>
      <c r="CV71" s="5">
        <f>IF(ISNUMBER(CH71),1-CH71/CG71,"")</f>
        <v>0.78487901015901862</v>
      </c>
      <c r="CW71" s="5">
        <f>IF(ISNUMBER(CH71),1-CH71/CI71,"")</f>
        <v>0.91783734315868215</v>
      </c>
      <c r="CX71" s="5">
        <f>IF(ISNUMBER(CI71),1-CJ71/CI71,"")</f>
        <v>1</v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>
        <v>1</v>
      </c>
      <c r="AC72" s="259" t="s">
        <v>195</v>
      </c>
      <c r="AD72" s="158" t="s">
        <v>196</v>
      </c>
      <c r="AE72" s="256" t="s">
        <v>240</v>
      </c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>
        <v>2</v>
      </c>
      <c r="AC73" s="261" t="s">
        <v>197</v>
      </c>
      <c r="AD73" s="262" t="s">
        <v>52</v>
      </c>
      <c r="AE73" s="263">
        <v>-0.81879999999999997</v>
      </c>
      <c r="AF73" s="255" t="s">
        <v>4</v>
      </c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1.84E-2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12">AK$1</f>
        <v>1Omy</v>
      </c>
      <c r="AL81" s="32" t="str">
        <f t="shared" si="112"/>
        <v>2U</v>
      </c>
      <c r="AM81" s="33" t="str">
        <f t="shared" si="11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13">AK86</f>
        <v>0</v>
      </c>
      <c r="AL82" s="182">
        <f t="shared" si="113"/>
        <v>0</v>
      </c>
      <c r="AM82" s="182">
        <f t="shared" si="11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14">AT$1</f>
        <v>1Omy</v>
      </c>
      <c r="AU90" s="32" t="str">
        <f t="shared" si="114"/>
        <v>2U</v>
      </c>
      <c r="AV90" s="33" t="str">
        <f t="shared" si="11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15">BM$1</f>
        <v>1Omy</v>
      </c>
      <c r="BN90" s="32" t="str">
        <f t="shared" si="115"/>
        <v>2U</v>
      </c>
      <c r="BO90" s="33" t="str">
        <f t="shared" si="11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16">BT$1</f>
        <v>1Omy</v>
      </c>
      <c r="BU90" s="32" t="str">
        <f t="shared" si="116"/>
        <v>2U</v>
      </c>
      <c r="BV90" s="33" t="str">
        <f t="shared" si="11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17">CA$1</f>
        <v>1-Omy/R</v>
      </c>
      <c r="CB90" s="32" t="str">
        <f t="shared" si="117"/>
        <v>1-Omy/U</v>
      </c>
      <c r="CC90" s="33" t="str">
        <f t="shared" si="11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18">CH$1</f>
        <v>1Omy</v>
      </c>
      <c r="CI90" s="32" t="str">
        <f t="shared" si="118"/>
        <v>2U</v>
      </c>
      <c r="CJ90" s="33" t="str">
        <f t="shared" si="11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19">CO$1</f>
        <v>1Omy</v>
      </c>
      <c r="CP90" s="32" t="str">
        <f t="shared" si="119"/>
        <v>2U</v>
      </c>
      <c r="CQ90" s="33" t="str">
        <f t="shared" si="11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20">CV$1</f>
        <v>1-Omy/R</v>
      </c>
      <c r="CW90" s="32" t="str">
        <f t="shared" si="120"/>
        <v>1-Omy/U</v>
      </c>
      <c r="CX90" s="33" t="str">
        <f t="shared" si="12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" si="121">IF(ISNUMBER(AL90),AL90,"")</f>
        <v/>
      </c>
      <c r="BB91" s="73" t="str">
        <f t="shared" ref="BB91" si="122">IF(ISNUMBER(AM90),AM90,"")</f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" si="123">IF(ISNUMBER(BM91),BM91-$AR89,"")</f>
        <v/>
      </c>
      <c r="CI91" s="7" t="str">
        <f t="shared" ref="CI91" si="124">IF(ISNUMBER(BN91),BN91-$AR89,"")</f>
        <v/>
      </c>
      <c r="CJ91" s="7" t="str">
        <f t="shared" ref="CJ91" si="125">IF(ISNUMBER(BO91),BO91-$AR89,"")</f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" si="126">IF(ISNUMBER(CH91),CH91/($AQ89-$AR89),"")</f>
        <v/>
      </c>
      <c r="CP91" s="5" t="str">
        <f t="shared" ref="CP91" si="127">IF(ISNUMBER(CI91),CI91/($AQ89-$AR89),"")</f>
        <v/>
      </c>
      <c r="CQ91" s="5" t="str">
        <f t="shared" ref="CQ91" si="128">IF(ISNUMBER(CJ91),CJ91/($AQ89-$AR89),"")</f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29">AK$1</f>
        <v>1Omy</v>
      </c>
      <c r="AL101" s="32" t="str">
        <f t="shared" si="129"/>
        <v>2U</v>
      </c>
      <c r="AM101" s="33" t="str">
        <f t="shared" si="129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30">AK106</f>
        <v>0</v>
      </c>
      <c r="AL102" s="182">
        <f t="shared" si="130"/>
        <v>0</v>
      </c>
      <c r="AM102" s="182">
        <f t="shared" si="130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31">AT$1</f>
        <v>1Omy</v>
      </c>
      <c r="AU110" s="32" t="str">
        <f t="shared" si="131"/>
        <v>2U</v>
      </c>
      <c r="AV110" s="33" t="str">
        <f t="shared" si="131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32">BM$1</f>
        <v>1Omy</v>
      </c>
      <c r="BN110" s="32" t="str">
        <f t="shared" si="132"/>
        <v>2U</v>
      </c>
      <c r="BO110" s="33" t="str">
        <f t="shared" si="132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33">BT$1</f>
        <v>1Omy</v>
      </c>
      <c r="BU110" s="32" t="str">
        <f t="shared" si="133"/>
        <v>2U</v>
      </c>
      <c r="BV110" s="33" t="str">
        <f t="shared" si="133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34">CA$1</f>
        <v>1-Omy/R</v>
      </c>
      <c r="CB110" s="32" t="str">
        <f t="shared" si="134"/>
        <v>1-Omy/U</v>
      </c>
      <c r="CC110" s="33" t="str">
        <f t="shared" si="134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35">CH$1</f>
        <v>1Omy</v>
      </c>
      <c r="CI110" s="32" t="str">
        <f t="shared" si="135"/>
        <v>2U</v>
      </c>
      <c r="CJ110" s="33" t="str">
        <f t="shared" si="135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36">CO$1</f>
        <v>1Omy</v>
      </c>
      <c r="CP110" s="32" t="str">
        <f t="shared" si="136"/>
        <v>2U</v>
      </c>
      <c r="CQ110" s="33" t="str">
        <f t="shared" si="136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37">CV$1</f>
        <v>1-Omy/R</v>
      </c>
      <c r="CW110" s="32" t="str">
        <f t="shared" si="137"/>
        <v>1-Omy/U</v>
      </c>
      <c r="CX110" s="33" t="str">
        <f t="shared" si="137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" si="138">IF(ISNUMBER(AL110),AL110,"")</f>
        <v/>
      </c>
      <c r="BB111" s="73" t="str">
        <f t="shared" ref="BB111" si="139">IF(ISNUMBER(AM110),AM110,"")</f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" si="140">IF(ISNUMBER(BM111),BM111-$AR109,"")</f>
        <v/>
      </c>
      <c r="CI111" s="7" t="str">
        <f t="shared" ref="CI111" si="141">IF(ISNUMBER(BN111),BN111-$AR109,"")</f>
        <v/>
      </c>
      <c r="CJ111" s="7" t="str">
        <f t="shared" ref="CJ111" si="142">IF(ISNUMBER(BO111),BO111-$AR109,"")</f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" si="143">IF(ISNUMBER(CH111),CH111/($AQ109-$AR109),"")</f>
        <v/>
      </c>
      <c r="CP111" s="5" t="str">
        <f t="shared" ref="CP111" si="144">IF(ISNUMBER(CI111),CI111/($AQ109-$AR109),"")</f>
        <v/>
      </c>
      <c r="CQ111" s="5" t="str">
        <f t="shared" ref="CQ111" si="145">IF(ISNUMBER(CJ111),CJ111/($AQ109-$AR109),"")</f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46">AK$1</f>
        <v>1Omy</v>
      </c>
      <c r="AL121" s="32" t="str">
        <f t="shared" si="146"/>
        <v>2U</v>
      </c>
      <c r="AM121" s="33" t="str">
        <f t="shared" si="14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47">AK126</f>
        <v>0</v>
      </c>
      <c r="AL122" s="182">
        <f t="shared" si="147"/>
        <v>0</v>
      </c>
      <c r="AM122" s="182">
        <f t="shared" si="14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48">AT$1</f>
        <v>1Omy</v>
      </c>
      <c r="AU130" s="32" t="str">
        <f t="shared" si="148"/>
        <v>2U</v>
      </c>
      <c r="AV130" s="33" t="str">
        <f t="shared" si="14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49">BM$1</f>
        <v>1Omy</v>
      </c>
      <c r="BN130" s="32" t="str">
        <f t="shared" si="149"/>
        <v>2U</v>
      </c>
      <c r="BO130" s="33" t="str">
        <f t="shared" si="14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50">BT$1</f>
        <v>1Omy</v>
      </c>
      <c r="BU130" s="32" t="str">
        <f t="shared" si="150"/>
        <v>2U</v>
      </c>
      <c r="BV130" s="33" t="str">
        <f t="shared" si="15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51">CA$1</f>
        <v>1-Omy/R</v>
      </c>
      <c r="CB130" s="32" t="str">
        <f t="shared" si="151"/>
        <v>1-Omy/U</v>
      </c>
      <c r="CC130" s="33" t="str">
        <f t="shared" si="15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52">CH$1</f>
        <v>1Omy</v>
      </c>
      <c r="CI130" s="32" t="str">
        <f t="shared" si="152"/>
        <v>2U</v>
      </c>
      <c r="CJ130" s="33" t="str">
        <f t="shared" si="15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53">CO$1</f>
        <v>1Omy</v>
      </c>
      <c r="CP130" s="32" t="str">
        <f t="shared" si="153"/>
        <v>2U</v>
      </c>
      <c r="CQ130" s="33" t="str">
        <f t="shared" si="15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54">CV$1</f>
        <v>1-Omy/R</v>
      </c>
      <c r="CW130" s="32" t="str">
        <f t="shared" si="154"/>
        <v>1-Omy/U</v>
      </c>
      <c r="CX130" s="33" t="str">
        <f t="shared" si="15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" si="155">IF(ISNUMBER(AL130),AL130,"")</f>
        <v/>
      </c>
      <c r="BB131" s="73" t="str">
        <f t="shared" ref="BB131" si="156">IF(ISNUMBER(AM130),AM130,"")</f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" si="157">IF(ISNUMBER(BM131),BM131-$AR129,"")</f>
        <v/>
      </c>
      <c r="CI131" s="7" t="str">
        <f t="shared" ref="CI131" si="158">IF(ISNUMBER(BN131),BN131-$AR129,"")</f>
        <v/>
      </c>
      <c r="CJ131" s="7" t="str">
        <f t="shared" ref="CJ131" si="159">IF(ISNUMBER(BO131),BO131-$AR129,"")</f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" si="160">IF(ISNUMBER(CH131),CH131/($AQ129-$AR129),"")</f>
        <v/>
      </c>
      <c r="CP131" s="5" t="str">
        <f t="shared" ref="CP131" si="161">IF(ISNUMBER(CI131),CI131/($AQ129-$AR129),"")</f>
        <v/>
      </c>
      <c r="CQ131" s="5" t="str">
        <f t="shared" ref="CQ131" si="162">IF(ISNUMBER(CJ131),CJ131/($AQ129-$AR129),"")</f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63">AK$1</f>
        <v>1Omy</v>
      </c>
      <c r="AL141" s="32" t="str">
        <f t="shared" si="163"/>
        <v>2U</v>
      </c>
      <c r="AM141" s="33" t="str">
        <f t="shared" si="163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64">AK146</f>
        <v>0</v>
      </c>
      <c r="AL142" s="182">
        <f t="shared" si="164"/>
        <v>0</v>
      </c>
      <c r="AM142" s="182">
        <f t="shared" si="164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65">AT$1</f>
        <v>1Omy</v>
      </c>
      <c r="AU150" s="32" t="str">
        <f t="shared" si="165"/>
        <v>2U</v>
      </c>
      <c r="AV150" s="33" t="str">
        <f t="shared" si="165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66">BM$1</f>
        <v>1Omy</v>
      </c>
      <c r="BN150" s="32" t="str">
        <f t="shared" si="166"/>
        <v>2U</v>
      </c>
      <c r="BO150" s="33" t="str">
        <f t="shared" si="166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67">BT$1</f>
        <v>1Omy</v>
      </c>
      <c r="BU150" s="32" t="str">
        <f t="shared" si="167"/>
        <v>2U</v>
      </c>
      <c r="BV150" s="33" t="str">
        <f t="shared" si="167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68">CA$1</f>
        <v>1-Omy/R</v>
      </c>
      <c r="CB150" s="32" t="str">
        <f t="shared" si="168"/>
        <v>1-Omy/U</v>
      </c>
      <c r="CC150" s="33" t="str">
        <f t="shared" si="168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69">CH$1</f>
        <v>1Omy</v>
      </c>
      <c r="CI150" s="32" t="str">
        <f t="shared" si="169"/>
        <v>2U</v>
      </c>
      <c r="CJ150" s="33" t="str">
        <f t="shared" si="169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70">CO$1</f>
        <v>1Omy</v>
      </c>
      <c r="CP150" s="32" t="str">
        <f t="shared" si="170"/>
        <v>2U</v>
      </c>
      <c r="CQ150" s="33" t="str">
        <f t="shared" si="170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71">CV$1</f>
        <v>1-Omy/R</v>
      </c>
      <c r="CW150" s="32" t="str">
        <f t="shared" si="171"/>
        <v>1-Omy/U</v>
      </c>
      <c r="CX150" s="33" t="str">
        <f t="shared" si="171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" si="172">IF(ISNUMBER(AL150),AL150,"")</f>
        <v/>
      </c>
      <c r="BB151" s="73" t="str">
        <f t="shared" ref="BB151" si="173">IF(ISNUMBER(AM150),AM150,"")</f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" si="174">IF(ISNUMBER(BM151),BM151-$AR149,"")</f>
        <v/>
      </c>
      <c r="CI151" s="7" t="str">
        <f t="shared" ref="CI151" si="175">IF(ISNUMBER(BN151),BN151-$AR149,"")</f>
        <v/>
      </c>
      <c r="CJ151" s="7" t="str">
        <f t="shared" ref="CJ151" si="176">IF(ISNUMBER(BO151),BO151-$AR149,"")</f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" si="177">IF(ISNUMBER(CH151),CH151/($AQ149-$AR149),"")</f>
        <v/>
      </c>
      <c r="CP151" s="5" t="str">
        <f t="shared" ref="CP151" si="178">IF(ISNUMBER(CI151),CI151/($AQ149-$AR149),"")</f>
        <v/>
      </c>
      <c r="CQ151" s="5" t="str">
        <f t="shared" ref="CQ151" si="179">IF(ISNUMBER(CJ151),CJ151/($AQ149-$AR149),"")</f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80">AK$1</f>
        <v>1Omy</v>
      </c>
      <c r="AL161" s="32" t="str">
        <f t="shared" si="180"/>
        <v>2U</v>
      </c>
      <c r="AM161" s="33" t="str">
        <f t="shared" si="18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81">AK166</f>
        <v>0</v>
      </c>
      <c r="AL162" s="182">
        <f t="shared" si="181"/>
        <v>0</v>
      </c>
      <c r="AM162" s="182">
        <f t="shared" si="18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82">AT$1</f>
        <v>1Omy</v>
      </c>
      <c r="AU170" s="32" t="str">
        <f t="shared" si="182"/>
        <v>2U</v>
      </c>
      <c r="AV170" s="33" t="str">
        <f t="shared" si="18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83">BM$1</f>
        <v>1Omy</v>
      </c>
      <c r="BN170" s="32" t="str">
        <f t="shared" si="183"/>
        <v>2U</v>
      </c>
      <c r="BO170" s="33" t="str">
        <f t="shared" si="18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84">BT$1</f>
        <v>1Omy</v>
      </c>
      <c r="BU170" s="32" t="str">
        <f t="shared" si="184"/>
        <v>2U</v>
      </c>
      <c r="BV170" s="33" t="str">
        <f t="shared" si="18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85">CA$1</f>
        <v>1-Omy/R</v>
      </c>
      <c r="CB170" s="32" t="str">
        <f t="shared" si="185"/>
        <v>1-Omy/U</v>
      </c>
      <c r="CC170" s="33" t="str">
        <f t="shared" si="18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86">CH$1</f>
        <v>1Omy</v>
      </c>
      <c r="CI170" s="32" t="str">
        <f t="shared" si="186"/>
        <v>2U</v>
      </c>
      <c r="CJ170" s="33" t="str">
        <f t="shared" si="18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87">CO$1</f>
        <v>1Omy</v>
      </c>
      <c r="CP170" s="32" t="str">
        <f t="shared" si="187"/>
        <v>2U</v>
      </c>
      <c r="CQ170" s="33" t="str">
        <f t="shared" si="18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88">CV$1</f>
        <v>1-Omy/R</v>
      </c>
      <c r="CW170" s="32" t="str">
        <f t="shared" si="188"/>
        <v>1-Omy/U</v>
      </c>
      <c r="CX170" s="33" t="str">
        <f t="shared" si="18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" si="189">IF(ISNUMBER(AL170),AL170,"")</f>
        <v/>
      </c>
      <c r="BB171" s="73" t="str">
        <f t="shared" ref="BB171" si="190">IF(ISNUMBER(AM170),AM170,"")</f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" si="191">IF(ISNUMBER(BM171),BM171-$AR169,"")</f>
        <v/>
      </c>
      <c r="CI171" s="7" t="str">
        <f t="shared" ref="CI171" si="192">IF(ISNUMBER(BN171),BN171-$AR169,"")</f>
        <v/>
      </c>
      <c r="CJ171" s="7" t="str">
        <f t="shared" ref="CJ171" si="193">IF(ISNUMBER(BO171),BO171-$AR169,"")</f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" si="194">IF(ISNUMBER(CH171),CH171/($AQ169-$AR169),"")</f>
        <v/>
      </c>
      <c r="CP171" s="5" t="str">
        <f t="shared" ref="CP171" si="195">IF(ISNUMBER(CI171),CI171/($AQ169-$AR169),"")</f>
        <v/>
      </c>
      <c r="CQ171" s="5" t="str">
        <f t="shared" ref="CQ171" si="196">IF(ISNUMBER(CJ171),CJ171/($AQ169-$AR169),"")</f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97">AK$1</f>
        <v>1Omy</v>
      </c>
      <c r="AL181" s="32" t="str">
        <f t="shared" si="197"/>
        <v>2U</v>
      </c>
      <c r="AM181" s="33" t="str">
        <f t="shared" si="197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98">AK186</f>
        <v>0</v>
      </c>
      <c r="AL182" s="182">
        <f t="shared" si="198"/>
        <v>0</v>
      </c>
      <c r="AM182" s="182">
        <f t="shared" si="198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99">AT$1</f>
        <v>1Omy</v>
      </c>
      <c r="AU190" s="32" t="str">
        <f t="shared" si="199"/>
        <v>2U</v>
      </c>
      <c r="AV190" s="33" t="str">
        <f t="shared" si="199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200">BM$1</f>
        <v>1Omy</v>
      </c>
      <c r="BN190" s="32" t="str">
        <f t="shared" si="200"/>
        <v>2U</v>
      </c>
      <c r="BO190" s="33" t="str">
        <f t="shared" si="200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201">BT$1</f>
        <v>1Omy</v>
      </c>
      <c r="BU190" s="32" t="str">
        <f t="shared" si="201"/>
        <v>2U</v>
      </c>
      <c r="BV190" s="33" t="str">
        <f t="shared" si="201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202">CA$1</f>
        <v>1-Omy/R</v>
      </c>
      <c r="CB190" s="32" t="str">
        <f t="shared" si="202"/>
        <v>1-Omy/U</v>
      </c>
      <c r="CC190" s="33" t="str">
        <f t="shared" si="202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203">CH$1</f>
        <v>1Omy</v>
      </c>
      <c r="CI190" s="32" t="str">
        <f t="shared" si="203"/>
        <v>2U</v>
      </c>
      <c r="CJ190" s="33" t="str">
        <f t="shared" si="203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204">CO$1</f>
        <v>1Omy</v>
      </c>
      <c r="CP190" s="32" t="str">
        <f t="shared" si="204"/>
        <v>2U</v>
      </c>
      <c r="CQ190" s="33" t="str">
        <f t="shared" si="204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205">CV$1</f>
        <v>1-Omy/R</v>
      </c>
      <c r="CW190" s="32" t="str">
        <f t="shared" si="205"/>
        <v>1-Omy/U</v>
      </c>
      <c r="CX190" s="33" t="str">
        <f t="shared" si="205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" si="206">IF(ISNUMBER(AL190),AL190,"")</f>
        <v/>
      </c>
      <c r="BB191" s="73" t="str">
        <f t="shared" ref="BB191" si="207">IF(ISNUMBER(AM190),AM190,"")</f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" si="208">IF(ISNUMBER(BM191),BM191-$AR189,"")</f>
        <v/>
      </c>
      <c r="CI191" s="7" t="str">
        <f t="shared" ref="CI191" si="209">IF(ISNUMBER(BN191),BN191-$AR189,"")</f>
        <v/>
      </c>
      <c r="CJ191" s="7" t="str">
        <f t="shared" ref="CJ191" si="210">IF(ISNUMBER(BO191),BO191-$AR189,"")</f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" si="211">IF(ISNUMBER(CH191),CH191/($AQ189-$AR189),"")</f>
        <v/>
      </c>
      <c r="CP191" s="5" t="str">
        <f t="shared" ref="CP191" si="212">IF(ISNUMBER(CI191),CI191/($AQ189-$AR189),"")</f>
        <v/>
      </c>
      <c r="CQ191" s="5" t="str">
        <f t="shared" ref="CQ191" si="213">IF(ISNUMBER(CJ191),CJ191/($AQ189-$AR189),"")</f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45" priority="34" stopIfTrue="1">
      <formula>ISERROR(AQ3)</formula>
    </cfRule>
  </conditionalFormatting>
  <conditionalFormatting sqref="AS34:AV34">
    <cfRule type="containsErrors" dxfId="44" priority="30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6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2" sqref="G22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223</v>
      </c>
      <c r="B1" s="326" t="str">
        <f>IF(ISTEXT(AB48),AB48,"Cohort")</f>
        <v>Cohort</v>
      </c>
      <c r="C1" s="331" t="str">
        <f>IF(ISTEXT(AB47),AB47,"Type")</f>
        <v>32D</v>
      </c>
      <c r="D1" s="331" t="str">
        <f>IF(ISTEXT(AB49),AB49,"Code")</f>
        <v>Code</v>
      </c>
      <c r="E1" s="327">
        <f>IF(ISNUMBER(AB50),AB50,"")</f>
        <v>2</v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2</v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>
        <f>$E$1</f>
        <v>2</v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>
        <f>$E$1</f>
        <v>2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>
        <f>$E$1</f>
        <v>2</v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>
        <f>$E$1</f>
        <v>2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2</v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>
        <f>$E$1</f>
        <v>2</v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>
        <f>$E$1</f>
        <v>2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2</v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2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2.0099999999999998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27.885346320000004</v>
      </c>
      <c r="AT3" s="38">
        <f t="shared" ref="AT3:AV3" si="0">IF(ISNUMBER(AT51),AT51,NA())</f>
        <v>8.7633602400000008</v>
      </c>
      <c r="AU3" s="38">
        <f t="shared" si="0"/>
        <v>72.586942960000002</v>
      </c>
      <c r="AV3" s="38">
        <f t="shared" si="0"/>
        <v>1.9353800000000001</v>
      </c>
      <c r="AW3" s="354" t="str">
        <f>AW51</f>
        <v>2A: O2 concentration</v>
      </c>
      <c r="AX3" s="354" t="str">
        <f>AX51</f>
        <v>µM</v>
      </c>
      <c r="AY3" s="353">
        <f>IF(ISNUMBER(AY51),AY51,NA())</f>
        <v>111.9187</v>
      </c>
      <c r="AZ3" s="353">
        <f t="shared" ref="AZ3:BB3" si="1">IF(ISNUMBER(AZ51),AZ51,NA())</f>
        <v>103.5659</v>
      </c>
      <c r="BA3" s="353">
        <f t="shared" si="1"/>
        <v>87.021100000000004</v>
      </c>
      <c r="BB3" s="353">
        <f t="shared" si="1"/>
        <v>63.674999999999997</v>
      </c>
      <c r="BC3" s="140">
        <f>BC51</f>
        <v>0</v>
      </c>
      <c r="BD3" s="141" t="str">
        <f>BD51</f>
        <v>2005-04-09 CD-01.DLD</v>
      </c>
      <c r="BE3" s="141">
        <f>BE51</f>
        <v>0</v>
      </c>
      <c r="BF3" s="142">
        <f>BF51</f>
        <v>0</v>
      </c>
      <c r="BG3" s="143">
        <f>$AP51</f>
        <v>2.0099999999999998</v>
      </c>
      <c r="BH3" s="143"/>
      <c r="BI3" s="144">
        <f>BI51</f>
        <v>2.2000000000000002</v>
      </c>
      <c r="BJ3" s="356" t="str">
        <f>BJ51</f>
        <v>O2 flow per cells</v>
      </c>
      <c r="BK3" s="356" t="str">
        <f>BK51</f>
        <v>pmol/(s*Mill)</v>
      </c>
      <c r="BL3" s="38">
        <f>IF(ISNUMBER(BL51),BL51,NA())</f>
        <v>25.350314836363637</v>
      </c>
      <c r="BM3" s="38">
        <f t="shared" ref="BM3:BO3" si="2">IF(ISNUMBER(BM51),BM51,NA())</f>
        <v>7.9706764655054805</v>
      </c>
      <c r="BN3" s="38">
        <f t="shared" si="2"/>
        <v>66.253142533771438</v>
      </c>
      <c r="BO3" s="38">
        <f t="shared" si="2"/>
        <v>1.7682777523983555</v>
      </c>
      <c r="BP3" s="143">
        <f>$AP51</f>
        <v>2.0099999999999998</v>
      </c>
      <c r="BQ3" s="357" t="str">
        <f>BQ51</f>
        <v>Flux control ratio</v>
      </c>
      <c r="BR3" s="357" t="str">
        <f>BR51</f>
        <v>FCR, relative</v>
      </c>
      <c r="BS3" s="315">
        <f>IF(ISNUMBER(BS51),BS51,NA())</f>
        <v>0.38262811191849105</v>
      </c>
      <c r="BT3" s="315">
        <f t="shared" ref="BT3:BV3" si="3">IF(ISNUMBER(BT51),BT51,NA())</f>
        <v>0.12030639092240131</v>
      </c>
      <c r="BU3" s="315">
        <f t="shared" si="3"/>
        <v>1</v>
      </c>
      <c r="BV3" s="315">
        <f t="shared" si="3"/>
        <v>2.6689718929136158E-2</v>
      </c>
      <c r="BW3" s="143">
        <f>$AP51</f>
        <v>2.0099999999999998</v>
      </c>
      <c r="BX3" s="357" t="str">
        <f>BX51</f>
        <v>Flux control factor</v>
      </c>
      <c r="BY3" s="357" t="str">
        <f>BY51</f>
        <v>FCF, relative</v>
      </c>
      <c r="BZ3" s="315">
        <f>IF(ISNUMBER(BZ51),BZ51,NA())</f>
        <v>0.61737188808150889</v>
      </c>
      <c r="CA3" s="315">
        <f t="shared" ref="CA3:CC3" si="4">IF(ISNUMBER(CA51),CA51,NA())</f>
        <v>0.68557879785887388</v>
      </c>
      <c r="CB3" s="315">
        <f t="shared" si="4"/>
        <v>0.87969360907759864</v>
      </c>
      <c r="CC3" s="315">
        <f t="shared" si="4"/>
        <v>0.97331028107086381</v>
      </c>
      <c r="CD3" s="143">
        <f>$AP51</f>
        <v>2.0099999999999998</v>
      </c>
      <c r="CE3" s="356" t="str">
        <f>CE51</f>
        <v>O2 flow per cells (mt: ROX-corr.)</v>
      </c>
      <c r="CF3" s="356" t="str">
        <f>CF51</f>
        <v>pmol/(s*Mill)</v>
      </c>
      <c r="CG3" s="38">
        <f>IF(ISNUMBER(CG51),CG51,NA())</f>
        <v>23.582037083965282</v>
      </c>
      <c r="CH3" s="38">
        <f t="shared" ref="CH3:CJ3" si="5">IF(ISNUMBER(CH51),CH51,NA())</f>
        <v>6.202398713107125</v>
      </c>
      <c r="CI3" s="38">
        <f t="shared" si="5"/>
        <v>64.484864781373076</v>
      </c>
      <c r="CJ3" s="38">
        <f t="shared" si="5"/>
        <v>0</v>
      </c>
      <c r="CK3" s="143">
        <f>$AP51</f>
        <v>2.0099999999999998</v>
      </c>
      <c r="CL3" s="357" t="str">
        <f>CL51</f>
        <v>FCR (mt: ROX-corr.)</v>
      </c>
      <c r="CM3" s="357" t="str">
        <f>CM51</f>
        <v>relative</v>
      </c>
      <c r="CN3" s="315">
        <f>IF(ISNUMBER(CN51),CN51,NA())</f>
        <v>0.36569879093205643</v>
      </c>
      <c r="CO3" s="315">
        <f t="shared" ref="CO3:CQ3" si="6">IF(ISNUMBER(CO51),CO51,NA())</f>
        <v>9.6183790322511981E-2</v>
      </c>
      <c r="CP3" s="315">
        <f t="shared" si="6"/>
        <v>1</v>
      </c>
      <c r="CQ3" s="315">
        <f t="shared" si="6"/>
        <v>0</v>
      </c>
      <c r="CR3" s="143">
        <f>$AP51</f>
        <v>2.0099999999999998</v>
      </c>
      <c r="CS3" s="357" t="str">
        <f>CS51</f>
        <v>FCF (mt: ROX-corr.)</v>
      </c>
      <c r="CT3" s="357" t="str">
        <f>CT51</f>
        <v>relative</v>
      </c>
      <c r="CU3" s="315">
        <f>IF(ISNUMBER(CU51),CU51,NA())</f>
        <v>0.63430120906794363</v>
      </c>
      <c r="CV3" s="315">
        <f t="shared" ref="CV3:CX3" si="7">IF(ISNUMBER(CV51),CV51,NA())</f>
        <v>0.7369863048292602</v>
      </c>
      <c r="CW3" s="315">
        <f t="shared" si="7"/>
        <v>0.90381620967748799</v>
      </c>
      <c r="CX3" s="315">
        <f t="shared" si="7"/>
        <v>1</v>
      </c>
      <c r="CY3" s="143">
        <f>$AP51</f>
        <v>2.0099999999999998</v>
      </c>
    </row>
    <row r="4" spans="1:116">
      <c r="A4" s="473" t="s">
        <v>99</v>
      </c>
      <c r="B4" s="288" t="str">
        <f>B41</f>
        <v>2005-04-09 CD-01.DLD</v>
      </c>
      <c r="C4" s="166" t="str">
        <f>IF(ISTEXT(C42),C42,"")</f>
        <v>32D</v>
      </c>
      <c r="D4" s="166" t="str">
        <f>IF(ISTEXT(D42),D42,"")</f>
        <v/>
      </c>
      <c r="E4" s="240">
        <f>E42</f>
        <v>2.0099999999999998</v>
      </c>
      <c r="F4" s="166" t="str">
        <f>IF(ISTEXT(G41),G41,"")</f>
        <v>2A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>
        <f>$AP71</f>
        <v>2.02</v>
      </c>
      <c r="AQ4" s="38" t="str">
        <f>AQ71</f>
        <v>O2 flux per volume</v>
      </c>
      <c r="AR4" s="38" t="str">
        <f>AR71</f>
        <v>pmol/(s*ml)</v>
      </c>
      <c r="AS4" s="38">
        <f>IF(ISNUMBER(AS71),AS71,NA())</f>
        <v>28.236944319999999</v>
      </c>
      <c r="AT4" s="38">
        <f t="shared" ref="AT4:AV4" si="9">IF(ISNUMBER(AT71),AT71,NA())</f>
        <v>8.93770636</v>
      </c>
      <c r="AU4" s="38">
        <f t="shared" si="9"/>
        <v>63.693023719999992</v>
      </c>
      <c r="AV4" s="38">
        <f t="shared" si="9"/>
        <v>1.22143088</v>
      </c>
      <c r="AW4" s="354" t="str">
        <f>AW71</f>
        <v>2B: O2 concentration</v>
      </c>
      <c r="AX4" s="354" t="str">
        <f>AX71</f>
        <v>µM</v>
      </c>
      <c r="AY4" s="353">
        <f>IF(ISNUMBER(AY71),AY71,NA())</f>
        <v>114.01560000000001</v>
      </c>
      <c r="AZ4" s="353">
        <f t="shared" ref="AZ4:BB4" si="10">IF(ISNUMBER(AZ71),AZ71,NA())</f>
        <v>106.3813</v>
      </c>
      <c r="BA4" s="353">
        <f t="shared" si="10"/>
        <v>72.705100000000002</v>
      </c>
      <c r="BB4" s="353">
        <f t="shared" si="10"/>
        <v>63.450400000000002</v>
      </c>
      <c r="BC4" s="140">
        <f>BC71</f>
        <v>0</v>
      </c>
      <c r="BD4" s="141" t="str">
        <f>BD71</f>
        <v>2005-04-09 CD-01.DLD</v>
      </c>
      <c r="BE4" s="141">
        <f>BE71</f>
        <v>0</v>
      </c>
      <c r="BF4" s="142">
        <f>BF71</f>
        <v>0</v>
      </c>
      <c r="BG4" s="143">
        <f>$AP71</f>
        <v>2.02</v>
      </c>
      <c r="BH4" s="143"/>
      <c r="BI4" s="144">
        <f>BI71</f>
        <v>2.2000000000000002</v>
      </c>
      <c r="BJ4" s="356" t="str">
        <f>BJ71</f>
        <v>O2 flow per cells</v>
      </c>
      <c r="BK4" s="356" t="str">
        <f>BK71</f>
        <v>pmol/(s*Mill)</v>
      </c>
      <c r="BL4" s="38">
        <f>IF(ISNUMBER(BL71),BL71,NA())</f>
        <v>25.669949381818178</v>
      </c>
      <c r="BM4" s="38">
        <f t="shared" ref="BM4:BO4" si="11">IF(ISNUMBER(BM71),BM71,NA())</f>
        <v>8.1292522261130564</v>
      </c>
      <c r="BN4" s="38">
        <f t="shared" si="11"/>
        <v>58.193717423481033</v>
      </c>
      <c r="BO4" s="38">
        <f t="shared" si="11"/>
        <v>1.1170942747393451</v>
      </c>
      <c r="BP4" s="143">
        <f>$AP71</f>
        <v>2.02</v>
      </c>
      <c r="BQ4" s="357" t="str">
        <f>BQ71</f>
        <v>Flux control ratio</v>
      </c>
      <c r="BR4" s="357" t="str">
        <f>BR71</f>
        <v>FCR, relative</v>
      </c>
      <c r="BS4" s="315">
        <f>IF(ISNUMBER(BS71),BS71,NA())</f>
        <v>0.4411120395525791</v>
      </c>
      <c r="BT4" s="315">
        <f t="shared" ref="BT4:BV4" si="12">IF(ISNUMBER(BT71),BT71,NA())</f>
        <v>0.1396929528827956</v>
      </c>
      <c r="BU4" s="315">
        <f t="shared" si="12"/>
        <v>1</v>
      </c>
      <c r="BV4" s="315">
        <f t="shared" si="12"/>
        <v>1.919613188843303E-2</v>
      </c>
      <c r="BW4" s="143">
        <f>$AP71</f>
        <v>2.02</v>
      </c>
      <c r="BX4" s="357" t="str">
        <f>BX71</f>
        <v>Flux control factor</v>
      </c>
      <c r="BY4" s="357" t="str">
        <f>BY71</f>
        <v>FCF, relative</v>
      </c>
      <c r="BZ4" s="315">
        <f>IF(ISNUMBER(BZ71),BZ71,NA())</f>
        <v>0.55888796044742084</v>
      </c>
      <c r="CA4" s="315">
        <f t="shared" ref="CA4:CC4" si="13">IF(ISNUMBER(CA71),CA71,NA())</f>
        <v>0.68331639049234194</v>
      </c>
      <c r="CB4" s="315">
        <f t="shared" si="13"/>
        <v>0.8603070471172044</v>
      </c>
      <c r="CC4" s="315">
        <f t="shared" si="13"/>
        <v>0.98080386811156695</v>
      </c>
      <c r="CD4" s="143">
        <f>$AP71</f>
        <v>2.02</v>
      </c>
      <c r="CE4" s="356" t="str">
        <f>CE71</f>
        <v>O2 flow per cells (mt: ROX-corr.)</v>
      </c>
      <c r="CF4" s="356" t="str">
        <f>CF71</f>
        <v>pmol/(s*Mill)</v>
      </c>
      <c r="CG4" s="38">
        <f>IF(ISNUMBER(CG71),CG71,NA())</f>
        <v>24.552855107078834</v>
      </c>
      <c r="CH4" s="38">
        <f t="shared" ref="CH4:CJ4" si="14">IF(ISNUMBER(CH71),CH71,NA())</f>
        <v>7.0121579513737116</v>
      </c>
      <c r="CI4" s="38">
        <f t="shared" si="14"/>
        <v>57.076623148741689</v>
      </c>
      <c r="CJ4" s="38">
        <f t="shared" si="14"/>
        <v>0</v>
      </c>
      <c r="CK4" s="143">
        <f>$AP71</f>
        <v>2.02</v>
      </c>
      <c r="CL4" s="357" t="str">
        <f>CL71</f>
        <v>FCR (mt: ROX-corr.)</v>
      </c>
      <c r="CM4" s="357" t="str">
        <f>CM71</f>
        <v>relative</v>
      </c>
      <c r="CN4" s="315">
        <f>IF(ISNUMBER(CN71),CN71,NA())</f>
        <v>0.43017357637108433</v>
      </c>
      <c r="CO4" s="315">
        <f t="shared" ref="CO4:CQ4" si="15">IF(ISNUMBER(CO71),CO71,NA())</f>
        <v>0.12285516494379892</v>
      </c>
      <c r="CP4" s="315">
        <f t="shared" si="15"/>
        <v>1</v>
      </c>
      <c r="CQ4" s="315">
        <f t="shared" si="15"/>
        <v>0</v>
      </c>
      <c r="CR4" s="143">
        <f>$AP71</f>
        <v>2.02</v>
      </c>
      <c r="CS4" s="357" t="str">
        <f>CS71</f>
        <v>FCF (mt: ROX-corr.)</v>
      </c>
      <c r="CT4" s="357" t="str">
        <f>CT71</f>
        <v>relative</v>
      </c>
      <c r="CU4" s="315">
        <f>IF(ISNUMBER(CU71),CU71,NA())</f>
        <v>0.56982642362891567</v>
      </c>
      <c r="CV4" s="315">
        <f t="shared" ref="CV4:CX4" si="16">IF(ISNUMBER(CV71),CV71,NA())</f>
        <v>0.71440559882781063</v>
      </c>
      <c r="CW4" s="315">
        <f t="shared" si="16"/>
        <v>0.87714483505620111</v>
      </c>
      <c r="CX4" s="315">
        <f t="shared" si="16"/>
        <v>1</v>
      </c>
      <c r="CY4" s="143">
        <f>$AP71</f>
        <v>2.02</v>
      </c>
    </row>
    <row r="5" spans="1:116" ht="13.8">
      <c r="A5" s="473" t="s">
        <v>108</v>
      </c>
      <c r="B5" s="288" t="str">
        <f>B61</f>
        <v>2005-04-09 CD-01.DLD</v>
      </c>
      <c r="C5" s="166" t="str">
        <f>IF(ISTEXT(C62),C62,"")</f>
        <v>32D</v>
      </c>
      <c r="D5" s="166" t="str">
        <f>IF(ISTEXT(D62),D62,"")</f>
        <v/>
      </c>
      <c r="E5" s="240">
        <f>E62</f>
        <v>2.02</v>
      </c>
      <c r="F5" s="166" t="str">
        <f>IF(ISTEXT(G61),G61,"")</f>
        <v>2B</v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>
        <f>AK18</f>
        <v>0.12999967190259845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>
        <f>AJ18</f>
        <v>0.41187007573553508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0.41187007573553508</v>
      </c>
      <c r="AK18" s="212">
        <f>BT34</f>
        <v>0.12999967190259845</v>
      </c>
      <c r="AL18" s="212">
        <f>BU34</f>
        <v>1</v>
      </c>
      <c r="AM18" s="212">
        <f>BV34</f>
        <v>2.2942925408784592E-2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>
        <f>$E$1</f>
        <v>2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>
        <f>$E$1</f>
        <v>2</v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>
        <f>$E$1</f>
        <v>2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>
        <f>$E$1</f>
        <v>2</v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>
        <f>$E$1</f>
        <v>2</v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>
        <f>$E$1</f>
        <v>2</v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>
        <f>$E$1</f>
        <v>2</v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>
        <f>$E$1</f>
        <v>2</v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>
        <f>$E$1</f>
        <v>2</v>
      </c>
    </row>
    <row r="34" spans="1:104">
      <c r="A34" s="435"/>
      <c r="B34" s="1"/>
      <c r="C34" s="1"/>
      <c r="D34" s="307" t="str">
        <f t="shared" ref="D34:D39" si="67">BG34</f>
        <v>Median</v>
      </c>
      <c r="E34" s="297">
        <f t="shared" ref="E34:E39" si="68">BI34</f>
        <v>2.2000000000000002</v>
      </c>
      <c r="F34" s="1"/>
      <c r="G34" s="50"/>
      <c r="H34" s="26">
        <f t="shared" ref="H34:K39" si="69">BL34</f>
        <v>25.510132109090907</v>
      </c>
      <c r="I34" s="26">
        <f t="shared" si="69"/>
        <v>8.0499643458092685</v>
      </c>
      <c r="J34" s="26">
        <f t="shared" si="69"/>
        <v>62.223429978626235</v>
      </c>
      <c r="K34" s="26">
        <f t="shared" si="69"/>
        <v>1.4426860135688502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>
        <f>$E$1</f>
        <v>2</v>
      </c>
      <c r="AQ34" s="37" t="s">
        <v>5</v>
      </c>
      <c r="AR34" s="174" t="s">
        <v>34</v>
      </c>
      <c r="AS34" s="38">
        <f t="array" ref="AS34">MEDIAN(IF(ISNUMBER(AS3:AS32),AS3:AS32))</f>
        <v>28.061145320000001</v>
      </c>
      <c r="AT34" s="38">
        <f t="array" ref="AT34">MEDIAN(IF(ISNUMBER(AT3:AT32),AT3:AT32))</f>
        <v>8.8505333000000004</v>
      </c>
      <c r="AU34" s="38">
        <f t="array" ref="AU34">MEDIAN(IF(ISNUMBER(AU3:AU32),AU3:AU32))</f>
        <v>68.139983340000001</v>
      </c>
      <c r="AV34" s="38">
        <f t="array" ref="AV34">MEDIAN(IF(ISNUMBER(AV3:AV32),AV3:AV32))</f>
        <v>1.57840544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112.96715</v>
      </c>
      <c r="AZ34" s="348">
        <f t="array" ref="AZ34">MEDIAN(IF(ISNUMBER(AZ3:AZ32),AZ3:AZ32))</f>
        <v>104.9736</v>
      </c>
      <c r="BA34" s="348">
        <f t="array" ref="BA34">MEDIAN(IF(ISNUMBER(BA3:BA32),BA3:BA32))</f>
        <v>79.863100000000003</v>
      </c>
      <c r="BB34" s="348">
        <f t="array" ref="BB34">MEDIAN(IF(ISNUMBER(BB3:BB32),BB3:BB32))</f>
        <v>63.5627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2</v>
      </c>
      <c r="BI34" s="346">
        <f t="array" ref="BI34">MEDIAN(IF(ISNUMBER(BI3:BI32),BI3:BI32))</f>
        <v>2.2000000000000002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25.510132109090907</v>
      </c>
      <c r="BM34" s="26">
        <f t="array" ref="BM34">MEDIAN(IF(ISNUMBER(BM3:BM32),BM3:BM32))</f>
        <v>8.0499643458092685</v>
      </c>
      <c r="BN34" s="26">
        <f t="array" ref="BN34">MEDIAN(IF(ISNUMBER(BN3:BN32),BN3:BN32))</f>
        <v>62.223429978626235</v>
      </c>
      <c r="BO34" s="26">
        <f t="array" ref="BO34">MEDIAN(IF(ISNUMBER(BO3:BO32),BO3:BO32))</f>
        <v>1.4426860135688502</v>
      </c>
      <c r="BP34" s="452">
        <f>$E$1</f>
        <v>2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0.41187007573553508</v>
      </c>
      <c r="BT34" s="312">
        <f t="array" ref="BT34">MEDIAN(IF(ISNUMBER(BT3:BT32),BT3:BT32))</f>
        <v>0.12999967190259845</v>
      </c>
      <c r="BU34" s="312">
        <f t="array" ref="BU34">MEDIAN(IF(ISNUMBER(BU3:BU32),BU3:BU32))</f>
        <v>1</v>
      </c>
      <c r="BV34" s="312">
        <f t="array" ref="BV34">MEDIAN(IF(ISNUMBER(BV3:BV32),BV3:BV32))</f>
        <v>2.2942925408784592E-2</v>
      </c>
      <c r="BW34" s="452">
        <f>$E$1</f>
        <v>2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0.58812992426446487</v>
      </c>
      <c r="CA34" s="312">
        <f t="array" ref="CA34">MEDIAN(IF(ISNUMBER(CA3:CA32),CA3:CA32))</f>
        <v>0.68444759417560785</v>
      </c>
      <c r="CB34" s="312">
        <f t="array" ref="CB34">MEDIAN(IF(ISNUMBER(CB3:CB32),CB3:CB32))</f>
        <v>0.87000032809740158</v>
      </c>
      <c r="CC34" s="312">
        <f t="array" ref="CC34">MEDIAN(IF(ISNUMBER(CC3:CC32),CC3:CC32))</f>
        <v>0.97705707459121538</v>
      </c>
      <c r="CD34" s="452">
        <f>$E$1</f>
        <v>2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24.067446095522058</v>
      </c>
      <c r="CH34" s="26">
        <f t="array" ref="CH34">MEDIAN(IF(ISNUMBER(CH3:CH32),CH3:CH32))</f>
        <v>6.6072783322404183</v>
      </c>
      <c r="CI34" s="26">
        <f t="array" ref="CI34">MEDIAN(IF(ISNUMBER(CI3:CI32),CI3:CI32))</f>
        <v>60.780743965057383</v>
      </c>
      <c r="CJ34" s="26">
        <f t="array" ref="CJ34">MEDIAN(IF(ISNUMBER(CJ3:CJ32),CJ3:CJ32))</f>
        <v>0</v>
      </c>
      <c r="CK34" s="452">
        <f>$E$1</f>
        <v>2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0.39793618365157035</v>
      </c>
      <c r="CO34" s="312">
        <f t="array" ref="CO34">MEDIAN(IF(ISNUMBER(CO3:CO32),CO3:CO32))</f>
        <v>0.10951947763315545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2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0.60206381634842965</v>
      </c>
      <c r="CV34" s="312">
        <f t="array" ref="CV34">MEDIAN(IF(ISNUMBER(CV3:CV32),CV3:CV32))</f>
        <v>0.72569595182853541</v>
      </c>
      <c r="CW34" s="312">
        <f t="array" ref="CW34">MEDIAN(IF(ISNUMBER(CW3:CW32),CW3:CW32))</f>
        <v>0.89048052236684461</v>
      </c>
      <c r="CX34" s="312">
        <f t="array" ref="CX34">MEDIAN(IF(ISNUMBER(CX3:CX32),CX3:CX32))</f>
        <v>1</v>
      </c>
      <c r="CY34" s="452">
        <f>$E$1</f>
        <v>2</v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0.31963454545454084</v>
      </c>
      <c r="I35" s="38">
        <f t="shared" si="69"/>
        <v>0.15857576060757594</v>
      </c>
      <c r="J35" s="38">
        <f t="shared" si="69"/>
        <v>8.0594251102904053</v>
      </c>
      <c r="K35" s="38">
        <f t="shared" si="69"/>
        <v>0.65118347765901041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0.35159799999999564</v>
      </c>
      <c r="AT35" s="129">
        <f t="array" ref="AT35">MAX(IF(ISNUMBER(AT3:AT32),AT3:AT32))-MIN(IF(ISNUMBER(AT3:AT32),AT3:AT32))</f>
        <v>0.17434611999999916</v>
      </c>
      <c r="AU35" s="129">
        <f t="array" ref="AU35">MAX(IF(ISNUMBER(AU3:AU32),AU3:AU32))-MIN(IF(ISNUMBER(AU3:AU32),AU3:AU32))</f>
        <v>8.8939192400000096</v>
      </c>
      <c r="AV35" s="129">
        <f t="array" ref="AV35">MAX(IF(ISNUMBER(AV3:AV32),AV3:AV32))-MIN(IF(ISNUMBER(AV3:AV32),AV3:AV32))</f>
        <v>0.7139491200000001</v>
      </c>
      <c r="AY35" s="129">
        <f t="array" ref="AY35">MAX(IF(ISNUMBER(AY3:AY32),AY3:AY32))-MIN(IF(ISNUMBER(AY3:AY32),AY3:AY32))</f>
        <v>2.0969000000000051</v>
      </c>
      <c r="AZ35" s="129">
        <f t="array" ref="AZ35">MAX(IF(ISNUMBER(AZ3:AZ32),AZ3:AZ32))-MIN(IF(ISNUMBER(AZ3:AZ32),AZ3:AZ32))</f>
        <v>2.8153999999999968</v>
      </c>
      <c r="BA35" s="129">
        <f t="array" ref="BA35">MAX(IF(ISNUMBER(BA3:BA32),BA3:BA32))-MIN(IF(ISNUMBER(BA3:BA32),BA3:BA32))</f>
        <v>14.316000000000003</v>
      </c>
      <c r="BB35" s="129">
        <f t="array" ref="BB35">MAX(IF(ISNUMBER(BB3:BB32),BB3:BB32))-MIN(IF(ISNUMBER(BB3:BB32),BB3:BB32))</f>
        <v>0.22459999999999525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0.31963454545454084</v>
      </c>
      <c r="BM35" s="129">
        <f t="array" ref="BM35">MAX(IF(ISNUMBER(BM3:BM32),BM3:BM32))-MIN(IF(ISNUMBER(BM3:BM32),BM3:BM32))</f>
        <v>0.15857576060757594</v>
      </c>
      <c r="BN35" s="129">
        <f t="array" ref="BN35">MAX(IF(ISNUMBER(BN3:BN32),BN3:BN32))-MIN(IF(ISNUMBER(BN3:BN32),BN3:BN32))</f>
        <v>8.0594251102904053</v>
      </c>
      <c r="BO35" s="129">
        <f t="array" ref="BO35">MAX(IF(ISNUMBER(BO3:BO32),BO3:BO32))-MIN(IF(ISNUMBER(BO3:BO32),BO3:BO32))</f>
        <v>0.65118347765901041</v>
      </c>
      <c r="BP35" s="14"/>
      <c r="BS35" s="229">
        <f t="array" ref="BS35">MAX(IF(ISNUMBER(BS3:BS32),BS3:BS32))-MIN(IF(ISNUMBER(BS3:BS32),BS3:BS32))</f>
        <v>5.8483927634088051E-2</v>
      </c>
      <c r="BT35" s="229">
        <f t="array" ref="BT35">MAX(IF(ISNUMBER(BT3:BT32),BT3:BT32))-MIN(IF(ISNUMBER(BT3:BT32),BT3:BT32))</f>
        <v>1.9386561960394288E-2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7.4935870407031278E-3</v>
      </c>
      <c r="BW35" s="14"/>
      <c r="BZ35" s="229">
        <f t="array" ref="BZ35">MAX(IF(ISNUMBER(BZ3:BZ32),BZ3:BZ32))-MIN(IF(ISNUMBER(BZ3:BZ32),BZ3:BZ32))</f>
        <v>5.8483927634088051E-2</v>
      </c>
      <c r="CA35" s="229">
        <f t="array" ref="CA35">MAX(IF(ISNUMBER(CA3:CA32),CA3:CA32))-MIN(IF(ISNUMBER(CA3:CA32),CA3:CA32))</f>
        <v>2.2624073665319377E-3</v>
      </c>
      <c r="CB35" s="229">
        <f t="array" ref="CB35">MAX(IF(ISNUMBER(CB3:CB32),CB3:CB32))-MIN(IF(ISNUMBER(CB3:CB32),CB3:CB32))</f>
        <v>1.9386561960394233E-2</v>
      </c>
      <c r="CC35" s="229">
        <f t="array" ref="CC35">MAX(IF(ISNUMBER(CC3:CC32),CC3:CC32))-MIN(IF(ISNUMBER(CC3:CC32),CC3:CC32))</f>
        <v>7.4935870407031313E-3</v>
      </c>
      <c r="CD35" s="13"/>
      <c r="CG35" s="129">
        <f t="array" ref="CG35">MAX(IF(ISNUMBER(CG3:CG32),CG3:CG32))-MIN(IF(ISNUMBER(CG3:CG32),CG3:CG32))</f>
        <v>0.97081802311355148</v>
      </c>
      <c r="CH35" s="129">
        <f t="array" ref="CH35">MAX(IF(ISNUMBER(CH3:CH32),CH3:CH32))-MIN(IF(ISNUMBER(CH3:CH32),CH3:CH32))</f>
        <v>0.80975923826658658</v>
      </c>
      <c r="CI35" s="129">
        <f t="array" ref="CI35">MAX(IF(ISNUMBER(CI3:CI32),CI3:CI32))-MIN(IF(ISNUMBER(CI3:CI32),CI3:CI32))</f>
        <v>7.4082416326313876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6.4474785439027904E-2</v>
      </c>
      <c r="CO35" s="229">
        <f t="array" ref="CO35">MAX(IF(ISNUMBER(CO3:CO32),CO3:CO32))-MIN(IF(ISNUMBER(CO3:CO32),CO3:CO32))</f>
        <v>2.6671374621286936E-2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6.447478543902796E-2</v>
      </c>
      <c r="CV35" s="229">
        <f t="array" ref="CV35">MAX(IF(ISNUMBER(CV3:CV32),CV3:CV32))-MIN(IF(ISNUMBER(CV3:CV32),CV3:CV32))</f>
        <v>2.2580706001449569E-2</v>
      </c>
      <c r="CW35" s="229">
        <f t="array" ref="CW35">MAX(IF(ISNUMBER(CW3:CW32),CW3:CW32))-MIN(IF(ISNUMBER(CW3:CW32),CW3:CW32))</f>
        <v>2.6671374621286881E-2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69"/>
        <v>0</v>
      </c>
      <c r="J36" s="38">
        <f t="shared" si="69"/>
        <v>0</v>
      </c>
      <c r="K36" s="38">
        <f t="shared" si="69"/>
        <v>0</v>
      </c>
      <c r="AN36" s="117"/>
      <c r="AO36" s="157"/>
      <c r="AP36" s="173"/>
      <c r="AR36" s="128" t="s">
        <v>83</v>
      </c>
      <c r="AS36" s="229">
        <f>(AS34-AS38)/(((AS34+AS38))/2)</f>
        <v>0</v>
      </c>
      <c r="AT36" s="229">
        <f t="shared" ref="AT36:AV36" si="71">(AT34-AT38)/(((AT34+AT38))/2)</f>
        <v>0</v>
      </c>
      <c r="AU36" s="229">
        <f t="shared" si="71"/>
        <v>0</v>
      </c>
      <c r="AV36" s="229">
        <f t="shared" si="71"/>
        <v>0</v>
      </c>
      <c r="AY36" s="229">
        <f>(AY34-AY38)/(((AY34+AY38))/2)</f>
        <v>0</v>
      </c>
      <c r="AZ36" s="229">
        <f t="shared" ref="AZ36:BB36" si="72">(AZ34-AZ38)/(((AZ34+AZ38))/2)</f>
        <v>0</v>
      </c>
      <c r="BA36" s="229">
        <f t="shared" si="72"/>
        <v>0</v>
      </c>
      <c r="BB36" s="229">
        <f t="shared" si="72"/>
        <v>0</v>
      </c>
      <c r="BC36" s="140"/>
      <c r="BG36" s="296" t="str">
        <f t="shared" si="70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3">(BM34-BM38)/(((BM34+BM38))/2)</f>
        <v>0</v>
      </c>
      <c r="BN36" s="229">
        <f t="shared" si="73"/>
        <v>0</v>
      </c>
      <c r="BO36" s="229">
        <f t="shared" si="73"/>
        <v>0</v>
      </c>
      <c r="BP36" s="14"/>
      <c r="BS36" s="229">
        <f>(BS34-BS38)/(((BS34+BS38))/2)</f>
        <v>0</v>
      </c>
      <c r="BT36" s="229">
        <f t="shared" ref="BT36:BV36" si="74">(BT34-BT38)/(((BT34+BT38))/2)</f>
        <v>0</v>
      </c>
      <c r="BU36" s="229">
        <f t="shared" si="74"/>
        <v>0</v>
      </c>
      <c r="BV36" s="229">
        <f t="shared" si="74"/>
        <v>0</v>
      </c>
      <c r="BW36" s="14"/>
      <c r="BZ36" s="229">
        <f t="shared" ref="BZ36:CC36" si="75">(BZ34-BZ38)/(((BZ34+BZ38))/2)</f>
        <v>0</v>
      </c>
      <c r="CA36" s="229">
        <f t="shared" si="75"/>
        <v>0</v>
      </c>
      <c r="CB36" s="229">
        <f t="shared" si="75"/>
        <v>0</v>
      </c>
      <c r="CC36" s="229">
        <f t="shared" si="75"/>
        <v>0</v>
      </c>
      <c r="CD36" s="13"/>
      <c r="CG36" s="229">
        <f>(CG34-CG38)/(((CG34+CG38))/2)</f>
        <v>0</v>
      </c>
      <c r="CH36" s="229">
        <f t="shared" ref="CH36:CI36" si="76">(CH34-CH38)/(((CH34+CH38))/2)</f>
        <v>0</v>
      </c>
      <c r="CI36" s="229">
        <f t="shared" si="76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77">(CO34-CO38)/(((CO34+CO38))/2)</f>
        <v>0</v>
      </c>
      <c r="CP36" s="229">
        <f t="shared" si="77"/>
        <v>0</v>
      </c>
      <c r="CQ36" s="229" t="e">
        <f t="shared" si="77"/>
        <v>#DIV/0!</v>
      </c>
      <c r="CR36" s="14"/>
      <c r="CU36" s="229">
        <f t="shared" ref="CU36:CX36" si="78">(CU34-CU38)/(((CU34+CU38))/2)</f>
        <v>0</v>
      </c>
      <c r="CV36" s="229">
        <f t="shared" si="78"/>
        <v>0</v>
      </c>
      <c r="CW36" s="229">
        <f t="shared" si="78"/>
        <v>0</v>
      </c>
      <c r="CX36" s="229">
        <f t="shared" si="78"/>
        <v>0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2</v>
      </c>
      <c r="F37" s="52"/>
      <c r="G37" s="175"/>
      <c r="H37" s="291">
        <f t="shared" si="69"/>
        <v>2</v>
      </c>
      <c r="I37" s="291">
        <f t="shared" si="69"/>
        <v>2</v>
      </c>
      <c r="J37" s="291">
        <f t="shared" si="69"/>
        <v>2</v>
      </c>
      <c r="K37" s="291">
        <f t="shared" si="69"/>
        <v>2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2</v>
      </c>
      <c r="AT37" s="291">
        <f>COUNT(AT3:AT32)</f>
        <v>2</v>
      </c>
      <c r="AU37" s="291">
        <f>COUNT(AU3:AU32)</f>
        <v>2</v>
      </c>
      <c r="AV37" s="291">
        <f>COUNT(AV3:AV32)</f>
        <v>2</v>
      </c>
      <c r="AW37" s="292"/>
      <c r="AX37" s="290" t="str">
        <f>$AR37</f>
        <v>n</v>
      </c>
      <c r="AY37" s="291">
        <f>COUNT(AY3:AY32)</f>
        <v>2</v>
      </c>
      <c r="AZ37" s="291">
        <f>COUNT(AZ3:AZ32)</f>
        <v>2</v>
      </c>
      <c r="BA37" s="291">
        <f>COUNT(BA3:BA32)</f>
        <v>2</v>
      </c>
      <c r="BB37" s="291">
        <f>COUNT(BB3:BB32)</f>
        <v>2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2</v>
      </c>
      <c r="BJ37" s="54"/>
      <c r="BK37" s="290" t="str">
        <f>$AR37</f>
        <v>n</v>
      </c>
      <c r="BL37" s="291">
        <f>COUNT(BL3:BL32)</f>
        <v>2</v>
      </c>
      <c r="BM37" s="291">
        <f>COUNT(BM3:BM32)</f>
        <v>2</v>
      </c>
      <c r="BN37" s="291">
        <f>COUNT(BN3:BN32)</f>
        <v>2</v>
      </c>
      <c r="BO37" s="291">
        <f>COUNT(BO3:BO32)</f>
        <v>2</v>
      </c>
      <c r="BP37" s="177"/>
      <c r="BQ37" s="54"/>
      <c r="BR37" s="290" t="str">
        <f>$AR37</f>
        <v>n</v>
      </c>
      <c r="BS37" s="291">
        <f>COUNT(BS3:BS32)</f>
        <v>2</v>
      </c>
      <c r="BT37" s="291">
        <f>COUNT(BT3:BT32)</f>
        <v>2</v>
      </c>
      <c r="BU37" s="291">
        <f>COUNT(BU3:BU32)</f>
        <v>2</v>
      </c>
      <c r="BV37" s="291">
        <f>COUNT(BV3:BV32)</f>
        <v>2</v>
      </c>
      <c r="BW37" s="177"/>
      <c r="BX37" s="54"/>
      <c r="BY37" s="290" t="str">
        <f>$AR37</f>
        <v>n</v>
      </c>
      <c r="BZ37" s="291">
        <f>COUNT(BZ3:BZ32)</f>
        <v>2</v>
      </c>
      <c r="CA37" s="291">
        <f>COUNT(CA3:CA32)</f>
        <v>2</v>
      </c>
      <c r="CB37" s="291">
        <f>COUNT(CB3:CB32)</f>
        <v>2</v>
      </c>
      <c r="CC37" s="291">
        <f>COUNT(CC3:CC32)</f>
        <v>2</v>
      </c>
      <c r="CD37" s="178"/>
      <c r="CE37" s="54"/>
      <c r="CF37" s="290" t="str">
        <f>$AR37</f>
        <v>n</v>
      </c>
      <c r="CG37" s="291">
        <f>COUNT(CG3:CG32)</f>
        <v>2</v>
      </c>
      <c r="CH37" s="291">
        <f>COUNT(CH3:CH32)</f>
        <v>2</v>
      </c>
      <c r="CI37" s="291">
        <f>COUNT(CI3:CI32)</f>
        <v>2</v>
      </c>
      <c r="CJ37" s="291">
        <f>COUNT(CJ3:CJ32)</f>
        <v>2</v>
      </c>
      <c r="CK37" s="177"/>
      <c r="CL37" s="54"/>
      <c r="CM37" s="290" t="str">
        <f>$AR37</f>
        <v>n</v>
      </c>
      <c r="CN37" s="291">
        <f>COUNT(CN3:CN32)</f>
        <v>2</v>
      </c>
      <c r="CO37" s="291">
        <f>COUNT(CO3:CO32)</f>
        <v>2</v>
      </c>
      <c r="CP37" s="291">
        <f>COUNT(CP3:CP32)</f>
        <v>2</v>
      </c>
      <c r="CQ37" s="291">
        <f>COUNT(CQ3:CQ32)</f>
        <v>2</v>
      </c>
      <c r="CR37" s="177"/>
      <c r="CS37" s="54"/>
      <c r="CT37" s="290" t="str">
        <f>$AR37</f>
        <v>n</v>
      </c>
      <c r="CU37" s="291">
        <f>COUNT(CU3:CU32)</f>
        <v>2</v>
      </c>
      <c r="CV37" s="291">
        <f>COUNT(CV3:CV32)</f>
        <v>2</v>
      </c>
      <c r="CW37" s="291">
        <f>COUNT(CW3:CW32)</f>
        <v>2</v>
      </c>
      <c r="CX37" s="291">
        <f>COUNT(CX3:CX32)</f>
        <v>2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>
        <f t="shared" si="68"/>
        <v>2.2000000000000002</v>
      </c>
      <c r="F38" s="214"/>
      <c r="G38" s="215"/>
      <c r="H38" s="295">
        <f t="shared" si="69"/>
        <v>25.510132109090907</v>
      </c>
      <c r="I38" s="295">
        <f t="shared" si="69"/>
        <v>8.0499643458092685</v>
      </c>
      <c r="J38" s="295">
        <f t="shared" si="69"/>
        <v>62.223429978626235</v>
      </c>
      <c r="K38" s="295">
        <f t="shared" si="69"/>
        <v>1.4426860135688502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28.061145320000001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8.8505333000000004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68.139983340000001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1.57840544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112.96715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104.9736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79.863100000000003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63.5627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2</v>
      </c>
      <c r="BI38" s="311">
        <f>AVERAGE(BI3:BI32)</f>
        <v>2.2000000000000002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25.510132109090907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8.0499643458092685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62.223429978626235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1.4426860135688502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0.41187007573553508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0.12999967190259845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2.2942925408784592E-2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0.58812992426446487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0.68444759417560785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0.87000032809740158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0.97705707459121538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24.067446095522058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6.6072783322404183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60.780743965057383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0.39793618365157035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0.10951947763315545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0.60206381634842965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0.72569595182853541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0.89048052236684461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>
        <f t="shared" si="68"/>
        <v>0</v>
      </c>
      <c r="F39" s="214"/>
      <c r="G39" s="214"/>
      <c r="H39" s="295">
        <f t="shared" si="69"/>
        <v>0.22601575459179774</v>
      </c>
      <c r="I39" s="295">
        <f t="shared" si="69"/>
        <v>0.11212999565735336</v>
      </c>
      <c r="J39" s="295">
        <f t="shared" si="69"/>
        <v>5.6988741479514493</v>
      </c>
      <c r="K39" s="295">
        <f t="shared" si="69"/>
        <v>0.46045625284932523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>
        <f t="array" ref="AS39">STDEV(IF(ISNUMBER(AS3:AS32),AS3:AS32))</f>
        <v>0.24861733005191949</v>
      </c>
      <c r="AT39" s="293">
        <f t="array" ref="AT39">STDEV(IF(ISNUMBER(AT3:AT32),AT3:AT32))</f>
        <v>0.12328132372545784</v>
      </c>
      <c r="AU39" s="293">
        <f t="array" ref="AU39">STDEV(IF(ISNUMBER(AU3:AU32),AU3:AU32))</f>
        <v>6.2889506059295144</v>
      </c>
      <c r="AV39" s="293">
        <f t="array" ref="AV39">STDEV(IF(ISNUMBER(AV3:AV32),AV3:AV32))</f>
        <v>0.50483826417416744</v>
      </c>
      <c r="AW39" s="237"/>
      <c r="AX39" s="235" t="str">
        <f>$AR39</f>
        <v>SD</v>
      </c>
      <c r="AY39" s="293">
        <f t="array" ref="AY39">STDEV(IF(ISNUMBER(AY3:AY32),AY3:AY32))</f>
        <v>1.482732209469265</v>
      </c>
      <c r="AZ39" s="293">
        <f t="array" ref="AZ39">STDEV(IF(ISNUMBER(AZ3:AZ32),AZ3:AZ32))</f>
        <v>1.9907884317506774</v>
      </c>
      <c r="BA39" s="293">
        <f t="array" ref="BA39">STDEV(IF(ISNUMBER(BA3:BA32),BA3:BA32))</f>
        <v>10.122940679466677</v>
      </c>
      <c r="BB39" s="293">
        <f t="array" ref="BB39">STDEV(IF(ISNUMBER(BB3:BB32),BB3:BB32))</f>
        <v>0.15881618305449521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2</v>
      </c>
      <c r="BI39" s="311">
        <f>STDEV(BI3:BI32)</f>
        <v>0</v>
      </c>
      <c r="BJ39" s="232"/>
      <c r="BK39" s="235" t="str">
        <f>$AR39</f>
        <v>SD</v>
      </c>
      <c r="BL39" s="293">
        <f t="array" ref="BL39">STDEV(IF(ISNUMBER(BL3:BL32),BL3:BL32))</f>
        <v>0.22601575459179774</v>
      </c>
      <c r="BM39" s="293">
        <f t="array" ref="BM39">STDEV(IF(ISNUMBER(BM3:BM32),BM3:BM32))</f>
        <v>0.11212999565735336</v>
      </c>
      <c r="BN39" s="293">
        <f t="array" ref="BN39">STDEV(IF(ISNUMBER(BN3:BN32),BN3:BN32))</f>
        <v>5.6988741479514493</v>
      </c>
      <c r="BO39" s="293">
        <f t="array" ref="BO39">STDEV(IF(ISNUMBER(BO3:BO32),BO3:BO32))</f>
        <v>0.46045625284932523</v>
      </c>
      <c r="BP39" s="234"/>
      <c r="BQ39" s="232"/>
      <c r="BR39" s="235" t="str">
        <f>$AR39</f>
        <v>SD</v>
      </c>
      <c r="BS39" s="313">
        <f t="array" ref="BS39">STDEV(IF(ISNUMBER(BS3:BS32),BS3:BS32))</f>
        <v>4.1354381820487181E-2</v>
      </c>
      <c r="BT39" s="313">
        <f t="array" ref="BT39">STDEV(IF(ISNUMBER(BT3:BT32),BT3:BT32))</f>
        <v>1.3708369426087849E-2</v>
      </c>
      <c r="BU39" s="313">
        <f t="array" ref="BU39">STDEV(IF(ISNUMBER(BU3:BU32),BU3:BU32))</f>
        <v>0</v>
      </c>
      <c r="BV39" s="313">
        <f t="array" ref="BV39">STDEV(IF(ISNUMBER(BV3:BV32),BV3:BV32))</f>
        <v>5.2987662118928322E-3</v>
      </c>
      <c r="BW39" s="234"/>
      <c r="BX39" s="235"/>
      <c r="BY39" s="235" t="str">
        <f>$AR39</f>
        <v>SD</v>
      </c>
      <c r="BZ39" s="313">
        <f t="array" ref="BZ39">STDEV(IF(ISNUMBER(BZ3:BZ32),BZ3:BZ32))</f>
        <v>4.1354381820486508E-2</v>
      </c>
      <c r="CA39" s="313">
        <f t="array" ref="CA39">STDEV(IF(ISNUMBER(CA3:CA32),CA3:CA32))</f>
        <v>1.5997635906811322E-3</v>
      </c>
      <c r="CB39" s="313">
        <f t="array" ref="CB39">STDEV(IF(ISNUMBER(CB3:CB32),CB3:CB32))</f>
        <v>1.3708369426087932E-2</v>
      </c>
      <c r="CC39" s="313">
        <f t="array" ref="CC39">STDEV(IF(ISNUMBER(CC3:CC32),CC3:CC32))</f>
        <v>5.2987662118928174E-3</v>
      </c>
      <c r="CD39" s="234"/>
      <c r="CE39" s="238"/>
      <c r="CF39" s="235" t="str">
        <f>$AR39</f>
        <v>SD</v>
      </c>
      <c r="CG39" s="293">
        <f t="array" ref="CG39">STDEV(IF(ISNUMBER(CG3:CG32),CG3:CG32))</f>
        <v>0.6864720074417423</v>
      </c>
      <c r="CH39" s="293">
        <f t="array" ref="CH39">STDEV(IF(ISNUMBER(CH3:CH32),CH3:CH32))</f>
        <v>0.5725862485067551</v>
      </c>
      <c r="CI39" s="293">
        <f t="array" ref="CI39">STDEV(IF(ISNUMBER(CI3:CI32),CI3:CI32))</f>
        <v>5.2384178951021712</v>
      </c>
      <c r="CJ39" s="293">
        <f t="array" ref="CJ39">STDEV(IF(ISNUMBER(CJ3:CJ32),CJ3:CJ32))</f>
        <v>0</v>
      </c>
      <c r="CK39" s="234"/>
      <c r="CL39" s="238"/>
      <c r="CM39" s="235" t="str">
        <f>$AR39</f>
        <v>SD</v>
      </c>
      <c r="CN39" s="313">
        <f t="array" ref="CN39">STDEV(IF(ISNUMBER(CN3:CN32),CN3:CN32))</f>
        <v>4.5590557999484714E-2</v>
      </c>
      <c r="CO39" s="313">
        <f t="array" ref="CO39">STDEV(IF(ISNUMBER(CO3:CO32),CO3:CO32))</f>
        <v>1.8859509858278774E-2</v>
      </c>
      <c r="CP39" s="313">
        <f t="array" ref="CP39">STDEV(IF(ISNUMBER(CP3:CP32),CP3:CP32))</f>
        <v>0</v>
      </c>
      <c r="CQ39" s="313">
        <f t="array" ref="CQ39">STDEV(IF(ISNUMBER(CQ3:CQ32),CQ3:CQ32))</f>
        <v>0</v>
      </c>
      <c r="CR39" s="234"/>
      <c r="CS39" s="238"/>
      <c r="CT39" s="235" t="str">
        <f>$AR39</f>
        <v>SD</v>
      </c>
      <c r="CU39" s="313">
        <f t="array" ref="CU39">STDEV(IF(ISNUMBER(CU3:CU32),CU3:CU32))</f>
        <v>4.5590557999484714E-2</v>
      </c>
      <c r="CV39" s="313">
        <f t="array" ref="CV39">STDEV(IF(ISNUMBER(CV3:CV32),CV3:CV32))</f>
        <v>1.5966970337604761E-2</v>
      </c>
      <c r="CW39" s="313">
        <f t="array" ref="CW39">STDEV(IF(ISNUMBER(CW3:CW32),CW3:CW32))</f>
        <v>1.885950985827874E-2</v>
      </c>
      <c r="CX39" s="313">
        <f t="array" ref="CX39">STDEV(IF(ISNUMBER(CX3:CX32),CX3:CX32))</f>
        <v>0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2005-04-09 CD-01.DLD</v>
      </c>
      <c r="C41" s="277"/>
      <c r="D41" s="30"/>
      <c r="F41" s="55" t="s">
        <v>16</v>
      </c>
      <c r="G41" s="56" t="str">
        <f>AC45</f>
        <v>2A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>
        <f>E42</f>
        <v>2.0099999999999998</v>
      </c>
      <c r="B42" s="286" t="s">
        <v>26</v>
      </c>
      <c r="C42" s="88" t="str">
        <f>AB47</f>
        <v>32D</v>
      </c>
      <c r="D42" s="88">
        <f>AB49</f>
        <v>0</v>
      </c>
      <c r="E42" s="278">
        <f>IF(ISNUMBER(AB50),AB50+0.01*AB51,"")</f>
        <v>2.0099999999999998</v>
      </c>
      <c r="F42" s="279" t="s">
        <v>10</v>
      </c>
      <c r="G42" s="98">
        <f>AE53</f>
        <v>-1.7249000000000001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2.0099999999999998</v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1</v>
      </c>
      <c r="AL42" s="182">
        <f t="shared" si="80"/>
        <v>7</v>
      </c>
      <c r="AM42" s="182">
        <f t="shared" si="80"/>
        <v>2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1.1000000000000001</v>
      </c>
      <c r="F43" s="279" t="s">
        <v>11</v>
      </c>
      <c r="G43" s="99">
        <f>AE54</f>
        <v>2.64E-2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1.1000000000000001</v>
      </c>
      <c r="AK43" s="60">
        <f>$E43-($E43*(SUM(AJ42:AK42))/1000)/2</f>
        <v>1.09945</v>
      </c>
      <c r="AL43" s="60">
        <f>$E43-($E43*(SUM(AJ42:AL42))/1000)/2</f>
        <v>1.0956000000000001</v>
      </c>
      <c r="AM43" s="60">
        <f>$E43-($E43*(SUM(AJ42:AM42))/1000)/2</f>
        <v>1.0945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 t="str">
        <f>AB46</f>
        <v>CCP</v>
      </c>
      <c r="C44" s="283" t="s">
        <v>7</v>
      </c>
      <c r="D44" s="283" t="s">
        <v>176</v>
      </c>
      <c r="E44" s="100">
        <f>AB53</f>
        <v>2.2000000000000002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246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247</v>
      </c>
      <c r="AC45" s="245" t="s">
        <v>126</v>
      </c>
      <c r="AD45" s="246" t="s">
        <v>37</v>
      </c>
      <c r="AE45" s="247" t="s">
        <v>38</v>
      </c>
      <c r="AF45" s="248" t="s">
        <v>248</v>
      </c>
      <c r="AG45" s="102" t="s">
        <v>185</v>
      </c>
      <c r="AH45" s="15" t="s">
        <v>34</v>
      </c>
      <c r="AI45" s="15" t="s">
        <v>186</v>
      </c>
      <c r="AJ45" s="507" t="s">
        <v>165</v>
      </c>
      <c r="AK45" s="31" t="s">
        <v>179</v>
      </c>
      <c r="AL45" s="32" t="s">
        <v>180</v>
      </c>
      <c r="AM45" s="33" t="s">
        <v>207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178</v>
      </c>
      <c r="AC46" s="250"/>
      <c r="AD46" s="251" t="s">
        <v>40</v>
      </c>
      <c r="AE46" s="247">
        <v>37.000100000000003</v>
      </c>
      <c r="AF46" s="252" t="s">
        <v>187</v>
      </c>
      <c r="AG46" s="102"/>
      <c r="AH46" s="186" t="s">
        <v>188</v>
      </c>
      <c r="AI46" s="186"/>
      <c r="AJ46" s="133">
        <v>0</v>
      </c>
      <c r="AK46" s="133">
        <v>1</v>
      </c>
      <c r="AL46" s="133">
        <v>7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 t="s">
        <v>237</v>
      </c>
      <c r="AC47" s="254"/>
      <c r="AD47" s="158" t="s">
        <v>42</v>
      </c>
      <c r="AE47" s="117"/>
      <c r="AF47" s="255" t="s">
        <v>6</v>
      </c>
      <c r="AG47" s="14"/>
      <c r="AH47" s="186" t="s">
        <v>189</v>
      </c>
      <c r="AI47" s="186"/>
      <c r="AJ47" s="188">
        <v>1.7465277777777777E-2</v>
      </c>
      <c r="AK47" s="188">
        <v>2.4583333333333332E-2</v>
      </c>
      <c r="AL47" s="188">
        <v>3.3043981481481487E-2</v>
      </c>
      <c r="AM47" s="188">
        <v>3.9421296296296295E-2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>
        <v>7.0575000000000001</v>
      </c>
      <c r="AF48" s="255" t="s">
        <v>190</v>
      </c>
      <c r="AG48" s="14"/>
      <c r="AH48" s="186" t="s">
        <v>191</v>
      </c>
      <c r="AI48" s="188"/>
      <c r="AJ48" s="188">
        <v>2.0439814814814817E-2</v>
      </c>
      <c r="AK48" s="188">
        <v>2.5902777777777775E-2</v>
      </c>
      <c r="AL48" s="188">
        <v>3.3090277777777781E-2</v>
      </c>
      <c r="AM48" s="188">
        <v>4.05787037037037E-2</v>
      </c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1.72E-2</v>
      </c>
      <c r="AF49" s="255" t="s">
        <v>190</v>
      </c>
      <c r="AG49" s="177"/>
      <c r="AH49" s="189" t="s">
        <v>192</v>
      </c>
      <c r="AI49" s="190"/>
      <c r="AJ49" s="189">
        <v>128</v>
      </c>
      <c r="AK49" s="189">
        <v>58</v>
      </c>
      <c r="AL49" s="189">
        <v>2</v>
      </c>
      <c r="AM49" s="189">
        <v>51</v>
      </c>
      <c r="AP49" s="74"/>
      <c r="AQ49" s="69">
        <f>BN51</f>
        <v>66.253142533771438</v>
      </c>
      <c r="AR49" s="70">
        <f>BO51</f>
        <v>1.7682777523983555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2</v>
      </c>
      <c r="AC50" s="254"/>
      <c r="AD50" s="158" t="s">
        <v>47</v>
      </c>
      <c r="AE50" s="117">
        <v>86.8</v>
      </c>
      <c r="AF50" s="255" t="s">
        <v>193</v>
      </c>
      <c r="AG50" s="103"/>
      <c r="AH50" s="104" t="s">
        <v>249</v>
      </c>
      <c r="AI50" s="16" t="s">
        <v>6</v>
      </c>
      <c r="AJ50" s="71">
        <v>111.9187</v>
      </c>
      <c r="AK50" s="71">
        <v>103.5659</v>
      </c>
      <c r="AL50" s="71">
        <v>87.021100000000004</v>
      </c>
      <c r="AM50" s="71">
        <v>63.674999999999997</v>
      </c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3Ama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194</v>
      </c>
      <c r="AH51" s="106" t="s">
        <v>250</v>
      </c>
      <c r="AI51" s="17" t="s">
        <v>4</v>
      </c>
      <c r="AJ51" s="8">
        <v>29.115100000000002</v>
      </c>
      <c r="AK51" s="8">
        <v>9.7726000000000006</v>
      </c>
      <c r="AL51" s="8">
        <v>73.159400000000005</v>
      </c>
      <c r="AM51" s="8">
        <v>1.8915</v>
      </c>
      <c r="AP51" s="459">
        <f>E42</f>
        <v>2.0099999999999998</v>
      </c>
      <c r="AQ51" s="510" t="s">
        <v>5</v>
      </c>
      <c r="AR51" s="37" t="s">
        <v>4</v>
      </c>
      <c r="AS51" s="21">
        <f>IF(ISNUMBER(AJ51),AJ51-($G43*AJ50+$G42),"")</f>
        <v>27.885346320000004</v>
      </c>
      <c r="AT51" s="21">
        <f>IF(ISNUMBER(AK51),AK51-($G43*AK50+$G42),"")</f>
        <v>8.7633602400000008</v>
      </c>
      <c r="AU51" s="21">
        <f>IF(ISNUMBER(AL51),AL51-($G43*AL50+$G42),"")</f>
        <v>72.586942960000002</v>
      </c>
      <c r="AV51" s="21">
        <f>IF(ISNUMBER(AM51),AM51-($G43*AM50+$G42),"")</f>
        <v>1.9353800000000001</v>
      </c>
      <c r="AW51" s="107" t="str">
        <f>$AH50</f>
        <v>2A: O2 concentration</v>
      </c>
      <c r="AX51" s="107" t="str">
        <f>$AI50</f>
        <v>µM</v>
      </c>
      <c r="AY51" s="73">
        <f>IF(ISNUMBER(AJ50),AJ50,"")</f>
        <v>111.9187</v>
      </c>
      <c r="AZ51" s="73">
        <f>IF(ISNUMBER(AK50),AK50,"")</f>
        <v>103.5659</v>
      </c>
      <c r="BA51" s="73">
        <f>IF(ISNUMBER(AL50),AL50,"")</f>
        <v>87.021100000000004</v>
      </c>
      <c r="BB51" s="73">
        <f t="shared" ref="BB51" si="88">IF(ISNUMBER(AM50),AM50,"")</f>
        <v>63.674999999999997</v>
      </c>
      <c r="BC51" s="166"/>
      <c r="BD51" s="176" t="str">
        <f>$AA44</f>
        <v>2005-04-09 CD-01.DLD</v>
      </c>
      <c r="BE51" s="193">
        <f>$D42</f>
        <v>0</v>
      </c>
      <c r="BF51" s="124">
        <f>$B43</f>
        <v>0</v>
      </c>
      <c r="BG51" s="194">
        <f>$E42</f>
        <v>2.0099999999999998</v>
      </c>
      <c r="BH51" s="195"/>
      <c r="BI51" s="196">
        <f>IF(ISNUMBER($AB53),$AB53,"")</f>
        <v>2.2000000000000002</v>
      </c>
      <c r="BJ51" s="511" t="str">
        <f>AH2</f>
        <v>O2 flow per cells</v>
      </c>
      <c r="BK51" s="511" t="str">
        <f>AI2</f>
        <v>pmol/(s*Mill)</v>
      </c>
      <c r="BL51" s="7">
        <f>IF(ISNUMBER(AS51),AS51/AJ43,"")</f>
        <v>25.350314836363637</v>
      </c>
      <c r="BM51" s="7">
        <f>IF(ISNUMBER(AT51),AT51/AK43,"")</f>
        <v>7.9706764655054805</v>
      </c>
      <c r="BN51" s="7">
        <f>IF(ISNUMBER(AU51),AU51/AL43,"")</f>
        <v>66.253142533771438</v>
      </c>
      <c r="BO51" s="7">
        <f>IF(ISNUMBER(AV51),AV51/AM43,"")</f>
        <v>1.7682777523983555</v>
      </c>
      <c r="BP51" s="194">
        <f>$E42</f>
        <v>2.0099999999999998</v>
      </c>
      <c r="BQ51" s="6" t="s">
        <v>19</v>
      </c>
      <c r="BR51" s="6" t="s">
        <v>20</v>
      </c>
      <c r="BS51" s="5">
        <f>IF(ISNUMBER(BL51),BL51/$AQ49,"")</f>
        <v>0.38262811191849105</v>
      </c>
      <c r="BT51" s="5">
        <f>IF(ISNUMBER(BM51),BM51/$AQ49,"")</f>
        <v>0.12030639092240131</v>
      </c>
      <c r="BU51" s="5">
        <f t="shared" ref="BU51" si="89">IF(ISNUMBER(BN51),BN51/$AQ49,"")</f>
        <v>1</v>
      </c>
      <c r="BV51" s="5">
        <f>IF(ISNUMBER(BO51),BO51/$AQ49,"")</f>
        <v>2.6689718929136158E-2</v>
      </c>
      <c r="BW51" s="194">
        <f>$E42</f>
        <v>2.0099999999999998</v>
      </c>
      <c r="BX51" s="6" t="s">
        <v>18</v>
      </c>
      <c r="BY51" s="6" t="s">
        <v>21</v>
      </c>
      <c r="BZ51" s="5">
        <f>IF(ISNUMBER(BN51),1-BL51/BN51,"")</f>
        <v>0.61737188808150889</v>
      </c>
      <c r="CA51" s="5">
        <f>IF(ISNUMBER(BM51),1-BM51/BL51,"")</f>
        <v>0.68557879785887388</v>
      </c>
      <c r="CB51" s="5">
        <f>IF(ISNUMBER(BM51),1-BM51/BN51,"")</f>
        <v>0.87969360907759864</v>
      </c>
      <c r="CC51" s="5">
        <f>IF(ISNUMBER(BN51),1-BO51/BN51,"")</f>
        <v>0.97331028107086381</v>
      </c>
      <c r="CD51" s="194">
        <f>$E42</f>
        <v>2.0099999999999998</v>
      </c>
      <c r="CE51" s="511" t="str">
        <f>AH3</f>
        <v>O2 flow per cells (mt: ROX-corr.)</v>
      </c>
      <c r="CF51" s="511" t="str">
        <f>AI2</f>
        <v>pmol/(s*Mill)</v>
      </c>
      <c r="CG51" s="7">
        <f>IF(ISNUMBER(BL51),BL51-$AR49,"")</f>
        <v>23.582037083965282</v>
      </c>
      <c r="CH51" s="7">
        <f>IF(ISNUMBER(BM51),BM51-$AR49,"")</f>
        <v>6.202398713107125</v>
      </c>
      <c r="CI51" s="7">
        <f>IF(ISNUMBER(BN51),BN51-$AR49,"")</f>
        <v>64.484864781373076</v>
      </c>
      <c r="CJ51" s="7">
        <f>IF(ISNUMBER(BO51),BO51-$AR49,"")</f>
        <v>0</v>
      </c>
      <c r="CK51" s="194">
        <f>$E42</f>
        <v>2.0099999999999998</v>
      </c>
      <c r="CL51" s="6" t="s">
        <v>3</v>
      </c>
      <c r="CM51" s="6" t="s">
        <v>1</v>
      </c>
      <c r="CN51" s="5">
        <f>IF(ISNUMBER(CG51),CG51/($AQ49-$AR49),"")</f>
        <v>0.36569879093205643</v>
      </c>
      <c r="CO51" s="5">
        <f>IF(ISNUMBER(CH51),CH51/($AQ49-$AR49),"")</f>
        <v>9.6183790322511981E-2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2.0099999999999998</v>
      </c>
      <c r="CS51" s="6" t="s">
        <v>2</v>
      </c>
      <c r="CT51" s="6" t="s">
        <v>1</v>
      </c>
      <c r="CU51" s="5">
        <f>IF(ISNUMBER(CI51),1-CG51/CI51,"")</f>
        <v>0.63430120906794363</v>
      </c>
      <c r="CV51" s="5">
        <f>IF(ISNUMBER(CH51),1-CH51/CG51,"")</f>
        <v>0.7369863048292602</v>
      </c>
      <c r="CW51" s="5">
        <f>IF(ISNUMBER(CH51),1-CH51/CI51,"")</f>
        <v>0.90381620967748799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1.1000000000000001</v>
      </c>
      <c r="AC52" s="259" t="s">
        <v>195</v>
      </c>
      <c r="AD52" s="158" t="s">
        <v>196</v>
      </c>
      <c r="AE52" s="256" t="s">
        <v>240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2.2000000000000002</v>
      </c>
      <c r="AC53" s="261" t="s">
        <v>197</v>
      </c>
      <c r="AD53" s="262" t="s">
        <v>52</v>
      </c>
      <c r="AE53" s="263">
        <v>-1.7249000000000001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2.64E-2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2005-04-09 CD-01.DLD</v>
      </c>
      <c r="C61" s="277"/>
      <c r="F61" s="55" t="s">
        <v>16</v>
      </c>
      <c r="G61" s="56" t="str">
        <f>AC65</f>
        <v>2B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>
        <f>E62</f>
        <v>2.02</v>
      </c>
      <c r="B62" s="286" t="s">
        <v>26</v>
      </c>
      <c r="C62" s="88" t="str">
        <f>AB67</f>
        <v>32D</v>
      </c>
      <c r="D62" s="88">
        <f>AB69</f>
        <v>0</v>
      </c>
      <c r="E62" s="278">
        <f>IF(ISNUMBER(AB70),AB70+0.01*AB71,"")</f>
        <v>2.02</v>
      </c>
      <c r="F62" s="279" t="s">
        <v>10</v>
      </c>
      <c r="G62" s="98">
        <f>AE73</f>
        <v>-1.2875000000000001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>
        <f>$E62</f>
        <v>2.02</v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1</v>
      </c>
      <c r="AL62" s="182">
        <f t="shared" si="91"/>
        <v>9</v>
      </c>
      <c r="AM62" s="182">
        <f t="shared" si="91"/>
        <v>2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1.1000000000000001</v>
      </c>
      <c r="F63" s="279" t="s">
        <v>11</v>
      </c>
      <c r="G63" s="99">
        <f>AE74</f>
        <v>2.2800000000000001E-2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1.1000000000000001</v>
      </c>
      <c r="AK63" s="60">
        <f>$E63-($E63*(SUM(AJ62:AK62))/1000)/2</f>
        <v>1.09945</v>
      </c>
      <c r="AL63" s="60">
        <f>$E63-($E63*(SUM(AJ62:AL62))/1000)/2</f>
        <v>1.0945</v>
      </c>
      <c r="AM63" s="60">
        <f>$E63-($E63*(SUM(AJ62:AM62))/1000)/2</f>
        <v>1.0934000000000001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 t="str">
        <f>AB66</f>
        <v>CCP</v>
      </c>
      <c r="C64" s="283" t="s">
        <v>7</v>
      </c>
      <c r="D64" s="283" t="s">
        <v>176</v>
      </c>
      <c r="E64" s="100">
        <f>AB73</f>
        <v>2.2000000000000002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246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247</v>
      </c>
      <c r="AC65" s="245" t="s">
        <v>127</v>
      </c>
      <c r="AD65" s="246" t="s">
        <v>37</v>
      </c>
      <c r="AE65" s="247" t="s">
        <v>38</v>
      </c>
      <c r="AF65" s="248" t="s">
        <v>241</v>
      </c>
      <c r="AG65" s="102" t="s">
        <v>185</v>
      </c>
      <c r="AH65" s="15" t="s">
        <v>34</v>
      </c>
      <c r="AI65" s="15" t="s">
        <v>186</v>
      </c>
      <c r="AJ65" s="507" t="s">
        <v>165</v>
      </c>
      <c r="AK65" s="31" t="s">
        <v>179</v>
      </c>
      <c r="AL65" s="32" t="s">
        <v>180</v>
      </c>
      <c r="AM65" s="33" t="s">
        <v>207</v>
      </c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 t="s">
        <v>178</v>
      </c>
      <c r="AC66" s="250"/>
      <c r="AD66" s="251" t="s">
        <v>40</v>
      </c>
      <c r="AE66" s="247">
        <v>37</v>
      </c>
      <c r="AF66" s="252" t="s">
        <v>187</v>
      </c>
      <c r="AG66" s="102"/>
      <c r="AH66" s="186" t="s">
        <v>188</v>
      </c>
      <c r="AI66" s="186"/>
      <c r="AJ66" s="133">
        <v>0</v>
      </c>
      <c r="AK66" s="133">
        <v>1</v>
      </c>
      <c r="AL66" s="133">
        <v>9</v>
      </c>
      <c r="AM66" s="133">
        <v>2</v>
      </c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 t="s">
        <v>237</v>
      </c>
      <c r="AC67" s="254"/>
      <c r="AD67" s="158" t="s">
        <v>42</v>
      </c>
      <c r="AE67" s="117"/>
      <c r="AF67" s="255" t="s">
        <v>6</v>
      </c>
      <c r="AG67" s="14"/>
      <c r="AH67" s="186" t="s">
        <v>189</v>
      </c>
      <c r="AI67" s="186"/>
      <c r="AJ67" s="188">
        <v>1.7291666666666667E-2</v>
      </c>
      <c r="AK67" s="188">
        <v>2.4097222222222225E-2</v>
      </c>
      <c r="AL67" s="188">
        <v>3.5405092592592592E-2</v>
      </c>
      <c r="AM67" s="188">
        <v>3.9699074074074074E-2</v>
      </c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>
        <v>6.6101999999999999</v>
      </c>
      <c r="AF68" s="255" t="s">
        <v>190</v>
      </c>
      <c r="AG68" s="14"/>
      <c r="AH68" s="186" t="s">
        <v>191</v>
      </c>
      <c r="AI68" s="188"/>
      <c r="AJ68" s="188">
        <v>2.0729166666666667E-2</v>
      </c>
      <c r="AK68" s="188">
        <v>2.5706018518518517E-2</v>
      </c>
      <c r="AL68" s="188">
        <v>3.6493055555555549E-2</v>
      </c>
      <c r="AM68" s="188">
        <v>4.0949074074074075E-2</v>
      </c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>
        <v>6.4899999999999999E-2</v>
      </c>
      <c r="AF69" s="255" t="s">
        <v>190</v>
      </c>
      <c r="AG69" s="177"/>
      <c r="AH69" s="189" t="s">
        <v>192</v>
      </c>
      <c r="AI69" s="190"/>
      <c r="AJ69" s="189">
        <v>149</v>
      </c>
      <c r="AK69" s="189">
        <v>69</v>
      </c>
      <c r="AL69" s="189">
        <v>47</v>
      </c>
      <c r="AM69" s="189">
        <v>53</v>
      </c>
      <c r="AP69" s="74"/>
      <c r="AQ69" s="69">
        <f>BN71</f>
        <v>58.193717423481033</v>
      </c>
      <c r="AR69" s="70">
        <f>BO71</f>
        <v>1.1170942747393451</v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>
        <v>2</v>
      </c>
      <c r="AC70" s="254"/>
      <c r="AD70" s="158" t="s">
        <v>47</v>
      </c>
      <c r="AE70" s="117">
        <v>86.8</v>
      </c>
      <c r="AF70" s="255" t="s">
        <v>193</v>
      </c>
      <c r="AG70" s="103"/>
      <c r="AH70" s="104" t="s">
        <v>251</v>
      </c>
      <c r="AI70" s="16" t="s">
        <v>6</v>
      </c>
      <c r="AJ70" s="71">
        <v>114.01560000000001</v>
      </c>
      <c r="AK70" s="71">
        <v>106.3813</v>
      </c>
      <c r="AL70" s="71">
        <v>72.705100000000002</v>
      </c>
      <c r="AM70" s="71">
        <v>63.450400000000002</v>
      </c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 t="str">
        <f>AJ65</f>
        <v>R</v>
      </c>
      <c r="AZ70" s="31" t="str">
        <f>AK65</f>
        <v>1Omy</v>
      </c>
      <c r="BA70" s="32" t="str">
        <f>AL65</f>
        <v>2U</v>
      </c>
      <c r="BB70" s="33" t="str">
        <f>AM65</f>
        <v>3Ama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>
        <v>2</v>
      </c>
      <c r="AC71" s="254"/>
      <c r="AD71" s="158" t="s">
        <v>49</v>
      </c>
      <c r="AE71" s="117">
        <v>0.89</v>
      </c>
      <c r="AF71" s="255"/>
      <c r="AG71" s="105" t="s">
        <v>194</v>
      </c>
      <c r="AH71" s="106" t="s">
        <v>252</v>
      </c>
      <c r="AI71" s="17" t="s">
        <v>4</v>
      </c>
      <c r="AJ71" s="8">
        <v>29.548999999999999</v>
      </c>
      <c r="AK71" s="8">
        <v>10.075699999999999</v>
      </c>
      <c r="AL71" s="8">
        <v>64.063199999999995</v>
      </c>
      <c r="AM71" s="8">
        <v>1.3806</v>
      </c>
      <c r="AP71" s="459">
        <f>E62</f>
        <v>2.02</v>
      </c>
      <c r="AQ71" s="510" t="s">
        <v>5</v>
      </c>
      <c r="AR71" s="510" t="s">
        <v>4</v>
      </c>
      <c r="AS71" s="21">
        <f>IF(ISNUMBER(AJ71),AJ71-($G63*AJ70+$G62),"")</f>
        <v>28.236944319999999</v>
      </c>
      <c r="AT71" s="21">
        <f>IF(ISNUMBER(AK71),AK71-($G63*AK70+$G62),"")</f>
        <v>8.93770636</v>
      </c>
      <c r="AU71" s="21">
        <f>IF(ISNUMBER(AL71),AL71-($G63*AL70+$G62),"")</f>
        <v>63.693023719999992</v>
      </c>
      <c r="AV71" s="21">
        <f>IF(ISNUMBER(AM71),AM71-($G63*AM70+$G62),"")</f>
        <v>1.22143088</v>
      </c>
      <c r="AW71" s="107" t="str">
        <f>$AH70</f>
        <v>2B: O2 concentration</v>
      </c>
      <c r="AX71" s="107" t="str">
        <f>$AI70</f>
        <v>µM</v>
      </c>
      <c r="AY71" s="73">
        <f>IF(ISNUMBER(AJ70),AJ70,"")</f>
        <v>114.01560000000001</v>
      </c>
      <c r="AZ71" s="73">
        <f>IF(ISNUMBER(AK70),AK70,"")</f>
        <v>106.3813</v>
      </c>
      <c r="BA71" s="73">
        <f t="shared" ref="BA71:BB71" si="99">IF(ISNUMBER(AL70),AL70,"")</f>
        <v>72.705100000000002</v>
      </c>
      <c r="BB71" s="73">
        <f t="shared" si="99"/>
        <v>63.450400000000002</v>
      </c>
      <c r="BC71" s="166"/>
      <c r="BD71" s="176" t="str">
        <f>$AA64</f>
        <v>2005-04-09 CD-01.DLD</v>
      </c>
      <c r="BE71" s="193">
        <f>$D62</f>
        <v>0</v>
      </c>
      <c r="BF71" s="124">
        <f>$B63</f>
        <v>0</v>
      </c>
      <c r="BG71" s="194">
        <f>$E62</f>
        <v>2.02</v>
      </c>
      <c r="BH71" s="195"/>
      <c r="BI71" s="196">
        <f>IF(ISNUMBER($AB73),$AB73,"")</f>
        <v>2.2000000000000002</v>
      </c>
      <c r="BJ71" s="511" t="str">
        <f>AH2</f>
        <v>O2 flow per cells</v>
      </c>
      <c r="BK71" s="511" t="str">
        <f>AI2</f>
        <v>pmol/(s*Mill)</v>
      </c>
      <c r="BL71" s="7">
        <f>IF(ISNUMBER(AS71),AS71/AJ63,"")</f>
        <v>25.669949381818178</v>
      </c>
      <c r="BM71" s="7">
        <f>IF(ISNUMBER(AT71),AT71/AK63,"")</f>
        <v>8.1292522261130564</v>
      </c>
      <c r="BN71" s="7">
        <f>IF(ISNUMBER(AU71),AU71/AL63,"")</f>
        <v>58.193717423481033</v>
      </c>
      <c r="BO71" s="7">
        <f>IF(ISNUMBER(AV71),AV71/AM63,"")</f>
        <v>1.1170942747393451</v>
      </c>
      <c r="BP71" s="194">
        <f>$E62</f>
        <v>2.02</v>
      </c>
      <c r="BQ71" s="6" t="s">
        <v>19</v>
      </c>
      <c r="BR71" s="6" t="s">
        <v>20</v>
      </c>
      <c r="BS71" s="5">
        <f>IF(ISNUMBER(BL71),BL71/$AQ69,"")</f>
        <v>0.4411120395525791</v>
      </c>
      <c r="BT71" s="5">
        <f>IF(ISNUMBER(BM71),BM71/$AQ69,"")</f>
        <v>0.1396929528827956</v>
      </c>
      <c r="BU71" s="5">
        <f>IF(ISNUMBER(BN71),BN71/$AQ69,"")</f>
        <v>1</v>
      </c>
      <c r="BV71" s="5">
        <f>IF(ISNUMBER(BO71),BO71/$AQ69,"")</f>
        <v>1.919613188843303E-2</v>
      </c>
      <c r="BW71" s="194">
        <f>$E62</f>
        <v>2.02</v>
      </c>
      <c r="BX71" s="6" t="s">
        <v>18</v>
      </c>
      <c r="BY71" s="6" t="s">
        <v>21</v>
      </c>
      <c r="BZ71" s="5">
        <f>IF(ISNUMBER(BN71),1-BL71/BN71,"")</f>
        <v>0.55888796044742084</v>
      </c>
      <c r="CA71" s="5">
        <f>IF(ISNUMBER(BM71),1-BM71/BL71,"")</f>
        <v>0.68331639049234194</v>
      </c>
      <c r="CB71" s="5">
        <f>IF(ISNUMBER(BM71),1-BM71/BN71,"")</f>
        <v>0.8603070471172044</v>
      </c>
      <c r="CC71" s="5">
        <f>IF(ISNUMBER(BN71),1-BO71/BN71,"")</f>
        <v>0.98080386811156695</v>
      </c>
      <c r="CD71" s="194">
        <f>$E62</f>
        <v>2.02</v>
      </c>
      <c r="CE71" s="511" t="str">
        <f>AH3</f>
        <v>O2 flow per cells (mt: ROX-corr.)</v>
      </c>
      <c r="CF71" s="511" t="str">
        <f>AI2</f>
        <v>pmol/(s*Mill)</v>
      </c>
      <c r="CG71" s="7">
        <f>IF(ISNUMBER(BL71),BL71-$AR69,"")</f>
        <v>24.552855107078834</v>
      </c>
      <c r="CH71" s="7">
        <f t="shared" ref="CH71:CJ71" si="100">IF(ISNUMBER(BM71),BM71-$AR69,"")</f>
        <v>7.0121579513737116</v>
      </c>
      <c r="CI71" s="7">
        <f t="shared" si="100"/>
        <v>57.076623148741689</v>
      </c>
      <c r="CJ71" s="7">
        <f t="shared" si="100"/>
        <v>0</v>
      </c>
      <c r="CK71" s="194">
        <f>$E62</f>
        <v>2.02</v>
      </c>
      <c r="CL71" s="6" t="s">
        <v>3</v>
      </c>
      <c r="CM71" s="6" t="s">
        <v>1</v>
      </c>
      <c r="CN71" s="5">
        <f>IF(ISNUMBER(CG71),CG71/($AQ69-$AR69),"")</f>
        <v>0.43017357637108433</v>
      </c>
      <c r="CO71" s="5">
        <f t="shared" ref="CO71:CQ71" si="101">IF(ISNUMBER(CH71),CH71/($AQ69-$AR69),"")</f>
        <v>0.12285516494379892</v>
      </c>
      <c r="CP71" s="5">
        <f t="shared" si="101"/>
        <v>1</v>
      </c>
      <c r="CQ71" s="5">
        <f t="shared" si="101"/>
        <v>0</v>
      </c>
      <c r="CR71" s="194">
        <f>$E62</f>
        <v>2.02</v>
      </c>
      <c r="CS71" s="6" t="s">
        <v>2</v>
      </c>
      <c r="CT71" s="6" t="s">
        <v>1</v>
      </c>
      <c r="CU71" s="5">
        <f>IF(ISNUMBER(CI71),1-CG71/CI71,"")</f>
        <v>0.56982642362891567</v>
      </c>
      <c r="CV71" s="5">
        <f>IF(ISNUMBER(CH71),1-CH71/CG71,"")</f>
        <v>0.71440559882781063</v>
      </c>
      <c r="CW71" s="5">
        <f>IF(ISNUMBER(CH71),1-CH71/CI71,"")</f>
        <v>0.87714483505620111</v>
      </c>
      <c r="CX71" s="5">
        <f>IF(ISNUMBER(CI71),1-CJ71/CI71,"")</f>
        <v>1</v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>
        <v>1.1000000000000001</v>
      </c>
      <c r="AC72" s="259" t="s">
        <v>195</v>
      </c>
      <c r="AD72" s="158" t="s">
        <v>196</v>
      </c>
      <c r="AE72" s="256" t="s">
        <v>240</v>
      </c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>
        <v>2.2000000000000002</v>
      </c>
      <c r="AC73" s="261" t="s">
        <v>197</v>
      </c>
      <c r="AD73" s="262" t="s">
        <v>52</v>
      </c>
      <c r="AE73" s="263">
        <v>-1.2875000000000001</v>
      </c>
      <c r="AF73" s="255" t="s">
        <v>4</v>
      </c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2.2800000000000001E-2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43" priority="2" stopIfTrue="1">
      <formula>ISERROR(AQ3)</formula>
    </cfRule>
  </conditionalFormatting>
  <conditionalFormatting sqref="AS34:AV34">
    <cfRule type="containsErrors" dxfId="42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7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224</v>
      </c>
      <c r="B1" s="326" t="str">
        <f>IF(ISTEXT(AB48),AB48,"Cohort")</f>
        <v>Cohort</v>
      </c>
      <c r="C1" s="331" t="str">
        <f>IF(ISTEXT(AB47),AB47,"Type")</f>
        <v>32D</v>
      </c>
      <c r="D1" s="331" t="str">
        <f>IF(ISTEXT(AB49),AB49,"Code")</f>
        <v>Code</v>
      </c>
      <c r="E1" s="327">
        <f>IF(ISNUMBER(AB50),AB50,"")</f>
        <v>3</v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>
        <f>$E$1</f>
        <v>3</v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>
        <f>$E$1</f>
        <v>3</v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>
        <f>$E$1</f>
        <v>3</v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>
        <f>$E$1</f>
        <v>3</v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>
        <f>$E$1</f>
        <v>3</v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>
        <f>$E$1</f>
        <v>3</v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>
        <f>$E$1</f>
        <v>3</v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>
        <f>$E$1</f>
        <v>3</v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>
        <f>$E$1</f>
        <v>3</v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1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3.01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27.768536000000001</v>
      </c>
      <c r="AT3" s="38">
        <f t="shared" ref="AT3:AV3" si="0">IF(ISNUMBER(AT51),AT51,NA())</f>
        <v>9.4576820000000001</v>
      </c>
      <c r="AU3" s="38">
        <f t="shared" si="0"/>
        <v>66.277894000000003</v>
      </c>
      <c r="AV3" s="38">
        <f t="shared" si="0"/>
        <v>1.922936</v>
      </c>
      <c r="AW3" s="354" t="str">
        <f>AW51</f>
        <v>2A: O2 concentration</v>
      </c>
      <c r="AX3" s="354" t="str">
        <f>AX51</f>
        <v>µM</v>
      </c>
      <c r="AY3" s="353">
        <f>IF(ISNUMBER(AY51),AY51,NA())</f>
        <v>122.4932</v>
      </c>
      <c r="AZ3" s="353">
        <f t="shared" ref="AZ3:BB3" si="1">IF(ISNUMBER(AZ51),AZ51,NA())</f>
        <v>117.6909</v>
      </c>
      <c r="BA3" s="353">
        <f t="shared" si="1"/>
        <v>55.490299999999998</v>
      </c>
      <c r="BB3" s="353">
        <f t="shared" si="1"/>
        <v>30.888200000000001</v>
      </c>
      <c r="BC3" s="140">
        <f>BC51</f>
        <v>0</v>
      </c>
      <c r="BD3" s="141" t="str">
        <f>BD51</f>
        <v>2005-04-09 EF-01A.DLD</v>
      </c>
      <c r="BE3" s="141">
        <f>BE51</f>
        <v>0</v>
      </c>
      <c r="BF3" s="142">
        <f>BF51</f>
        <v>0</v>
      </c>
      <c r="BG3" s="143">
        <f>$AP51</f>
        <v>3.01</v>
      </c>
      <c r="BH3" s="143"/>
      <c r="BI3" s="144">
        <f>BI51</f>
        <v>2</v>
      </c>
      <c r="BJ3" s="356" t="str">
        <f>BJ51</f>
        <v>O2 flow per cells</v>
      </c>
      <c r="BK3" s="356" t="str">
        <f>BK51</f>
        <v>pmol/(s*Mill)</v>
      </c>
      <c r="BL3" s="38">
        <f>IF(ISNUMBER(BL51),BL51,NA())</f>
        <v>27.768536000000001</v>
      </c>
      <c r="BM3" s="38">
        <f t="shared" ref="BM3:BO3" si="2">IF(ISNUMBER(BM51),BM51,NA())</f>
        <v>9.4624132066033013</v>
      </c>
      <c r="BN3" s="38">
        <f t="shared" si="2"/>
        <v>66.344238238238248</v>
      </c>
      <c r="BO3" s="38">
        <f t="shared" si="2"/>
        <v>1.9267895791583167</v>
      </c>
      <c r="BP3" s="143">
        <f>$AP51</f>
        <v>3.01</v>
      </c>
      <c r="BQ3" s="357" t="str">
        <f>BQ51</f>
        <v>Flux control ratio</v>
      </c>
      <c r="BR3" s="357" t="str">
        <f>BR51</f>
        <v>FCR, relative</v>
      </c>
      <c r="BS3" s="315">
        <f>IF(ISNUMBER(BS51),BS51,NA())</f>
        <v>0.41855233758634514</v>
      </c>
      <c r="BT3" s="315">
        <f t="shared" ref="BT3:BV3" si="3">IF(ISNUMBER(BT51),BT51,NA())</f>
        <v>0.1426259982460622</v>
      </c>
      <c r="BU3" s="315">
        <f t="shared" si="3"/>
        <v>1</v>
      </c>
      <c r="BV3" s="315">
        <f t="shared" si="3"/>
        <v>2.9042304657102686E-2</v>
      </c>
      <c r="BW3" s="143">
        <f>$AP51</f>
        <v>3.01</v>
      </c>
      <c r="BX3" s="357" t="str">
        <f>BX51</f>
        <v>Flux control factor</v>
      </c>
      <c r="BY3" s="357" t="str">
        <f>BY51</f>
        <v>FCF, relative</v>
      </c>
      <c r="BZ3" s="315">
        <f>IF(ISNUMBER(BZ51),BZ51,NA())</f>
        <v>0.58144766241365486</v>
      </c>
      <c r="CA3" s="315">
        <f t="shared" ref="CA3:CC3" si="4">IF(ISNUMBER(CA51),CA51,NA())</f>
        <v>0.65923975226481868</v>
      </c>
      <c r="CB3" s="315">
        <f t="shared" si="4"/>
        <v>0.85737400175393774</v>
      </c>
      <c r="CC3" s="315">
        <f t="shared" si="4"/>
        <v>0.97095769534289733</v>
      </c>
      <c r="CD3" s="143">
        <f>$AP51</f>
        <v>3.01</v>
      </c>
      <c r="CE3" s="356" t="str">
        <f>CE51</f>
        <v>O2 flow per cells (mt: ROX-corr.)</v>
      </c>
      <c r="CF3" s="356" t="str">
        <f>CF51</f>
        <v>pmol/(s*Mill)</v>
      </c>
      <c r="CG3" s="38">
        <f>IF(ISNUMBER(CG51),CG51,NA())</f>
        <v>25.841746420841684</v>
      </c>
      <c r="CH3" s="38">
        <f t="shared" ref="CH3:CJ3" si="5">IF(ISNUMBER(CH51),CH51,NA())</f>
        <v>7.5356236274449842</v>
      </c>
      <c r="CI3" s="38">
        <f t="shared" si="5"/>
        <v>64.417448659079938</v>
      </c>
      <c r="CJ3" s="38">
        <f t="shared" si="5"/>
        <v>0</v>
      </c>
      <c r="CK3" s="143">
        <f>$AP51</f>
        <v>3.01</v>
      </c>
      <c r="CL3" s="357" t="str">
        <f>CL51</f>
        <v>FCR (mt: ROX-corr.)</v>
      </c>
      <c r="CM3" s="357" t="str">
        <f>CM51</f>
        <v>relative</v>
      </c>
      <c r="CN3" s="315">
        <f>IF(ISNUMBER(CN51),CN51,NA())</f>
        <v>0.40116066312413895</v>
      </c>
      <c r="CO3" s="315">
        <f t="shared" ref="CO3:CQ3" si="6">IF(ISNUMBER(CO51),CO51,NA())</f>
        <v>0.11698109416481528</v>
      </c>
      <c r="CP3" s="315">
        <f t="shared" si="6"/>
        <v>1</v>
      </c>
      <c r="CQ3" s="315">
        <f t="shared" si="6"/>
        <v>0</v>
      </c>
      <c r="CR3" s="143">
        <f>$AP51</f>
        <v>3.01</v>
      </c>
      <c r="CS3" s="357" t="str">
        <f>CS51</f>
        <v>FCF (mt: ROX-corr.)</v>
      </c>
      <c r="CT3" s="357" t="str">
        <f>CT51</f>
        <v>relative</v>
      </c>
      <c r="CU3" s="315">
        <f>IF(ISNUMBER(CU51),CU51,NA())</f>
        <v>0.59883933687586111</v>
      </c>
      <c r="CV3" s="315">
        <f t="shared" ref="CV3:CX3" si="7">IF(ISNUMBER(CV51),CV51,NA())</f>
        <v>0.70839340713569532</v>
      </c>
      <c r="CW3" s="315">
        <f t="shared" si="7"/>
        <v>0.88301890583518472</v>
      </c>
      <c r="CX3" s="315">
        <f t="shared" si="7"/>
        <v>1</v>
      </c>
      <c r="CY3" s="143">
        <f>$AP51</f>
        <v>3.01</v>
      </c>
    </row>
    <row r="4" spans="1:116">
      <c r="A4" s="473" t="s">
        <v>99</v>
      </c>
      <c r="B4" s="288" t="str">
        <f>B41</f>
        <v>2005-04-09 EF-01A.DLD</v>
      </c>
      <c r="C4" s="166" t="str">
        <f>IF(ISTEXT(C42),C42,"")</f>
        <v>32D</v>
      </c>
      <c r="D4" s="166" t="str">
        <f>IF(ISTEXT(D42),D42,"")</f>
        <v/>
      </c>
      <c r="E4" s="240">
        <f>E42</f>
        <v>3.01</v>
      </c>
      <c r="F4" s="166" t="str">
        <f>IF(ISTEXT(G41),G41,"")</f>
        <v>2A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>
        <f>AK18</f>
        <v>0.1426259982460622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>
        <f>AJ18</f>
        <v>0.41855233758634514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0.41855233758634514</v>
      </c>
      <c r="AK18" s="212">
        <f>BT34</f>
        <v>0.1426259982460622</v>
      </c>
      <c r="AL18" s="212">
        <f>BU34</f>
        <v>1</v>
      </c>
      <c r="AM18" s="212">
        <f>BV34</f>
        <v>2.9042304657102686E-2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>
        <f>$E$1</f>
        <v>3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>
        <f>$E$1</f>
        <v>3</v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>
        <f>$E$1</f>
        <v>3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>
        <f>$E$1</f>
        <v>3</v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>
        <f>$E$1</f>
        <v>3</v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>
        <f>$E$1</f>
        <v>3</v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>
        <f>$E$1</f>
        <v>3</v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>
        <f>$E$1</f>
        <v>3</v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>
        <f>$E$1</f>
        <v>3</v>
      </c>
    </row>
    <row r="34" spans="1:104">
      <c r="A34" s="435"/>
      <c r="B34" s="1"/>
      <c r="C34" s="1"/>
      <c r="D34" s="307" t="str">
        <f t="shared" ref="D34:D39" si="67">BG34</f>
        <v>Median</v>
      </c>
      <c r="E34" s="297">
        <f t="shared" ref="E34:E39" si="68">BI34</f>
        <v>2</v>
      </c>
      <c r="F34" s="1"/>
      <c r="G34" s="50"/>
      <c r="H34" s="26">
        <f t="shared" ref="H34:K39" si="69">BL34</f>
        <v>27.768536000000001</v>
      </c>
      <c r="I34" s="26">
        <f t="shared" si="69"/>
        <v>9.4624132066033013</v>
      </c>
      <c r="J34" s="26">
        <f t="shared" si="69"/>
        <v>66.344238238238248</v>
      </c>
      <c r="K34" s="26">
        <f t="shared" si="69"/>
        <v>1.9267895791583167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>
        <f>$E$1</f>
        <v>3</v>
      </c>
      <c r="AQ34" s="37" t="s">
        <v>5</v>
      </c>
      <c r="AR34" s="174" t="s">
        <v>34</v>
      </c>
      <c r="AS34" s="38">
        <f t="array" ref="AS34">MEDIAN(IF(ISNUMBER(AS3:AS32),AS3:AS32))</f>
        <v>27.768536000000001</v>
      </c>
      <c r="AT34" s="38">
        <f t="array" ref="AT34">MEDIAN(IF(ISNUMBER(AT3:AT32),AT3:AT32))</f>
        <v>9.4576820000000001</v>
      </c>
      <c r="AU34" s="38">
        <f t="array" ref="AU34">MEDIAN(IF(ISNUMBER(AU3:AU32),AU3:AU32))</f>
        <v>66.277894000000003</v>
      </c>
      <c r="AV34" s="38">
        <f t="array" ref="AV34">MEDIAN(IF(ISNUMBER(AV3:AV32),AV3:AV32))</f>
        <v>1.922936</v>
      </c>
      <c r="AW34" s="294" t="s">
        <v>23</v>
      </c>
      <c r="AX34" s="174" t="str">
        <f>$AR34</f>
        <v>Median</v>
      </c>
      <c r="AY34" s="348">
        <f t="array" ref="AY34">MEDIAN(IF(ISNUMBER(AY3:AY32),AY3:AY32))</f>
        <v>122.4932</v>
      </c>
      <c r="AZ34" s="348">
        <f t="array" ref="AZ34">MEDIAN(IF(ISNUMBER(AZ3:AZ32),AZ3:AZ32))</f>
        <v>117.6909</v>
      </c>
      <c r="BA34" s="348">
        <f t="array" ref="BA34">MEDIAN(IF(ISNUMBER(BA3:BA32),BA3:BA32))</f>
        <v>55.490299999999998</v>
      </c>
      <c r="BB34" s="348">
        <f t="array" ref="BB34">MEDIAN(IF(ISNUMBER(BB3:BB32),BB3:BB32))</f>
        <v>30.888200000000001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1</v>
      </c>
      <c r="BI34" s="346">
        <f t="array" ref="BI34">MEDIAN(IF(ISNUMBER(BI3:BI32),BI3:BI32))</f>
        <v>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27.768536000000001</v>
      </c>
      <c r="BM34" s="26">
        <f t="array" ref="BM34">MEDIAN(IF(ISNUMBER(BM3:BM32),BM3:BM32))</f>
        <v>9.4624132066033013</v>
      </c>
      <c r="BN34" s="26">
        <f t="array" ref="BN34">MEDIAN(IF(ISNUMBER(BN3:BN32),BN3:BN32))</f>
        <v>66.344238238238248</v>
      </c>
      <c r="BO34" s="26">
        <f t="array" ref="BO34">MEDIAN(IF(ISNUMBER(BO3:BO32),BO3:BO32))</f>
        <v>1.9267895791583167</v>
      </c>
      <c r="BP34" s="452">
        <f>$E$1</f>
        <v>3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0.41855233758634514</v>
      </c>
      <c r="BT34" s="312">
        <f t="array" ref="BT34">MEDIAN(IF(ISNUMBER(BT3:BT32),BT3:BT32))</f>
        <v>0.1426259982460622</v>
      </c>
      <c r="BU34" s="312">
        <f t="array" ref="BU34">MEDIAN(IF(ISNUMBER(BU3:BU32),BU3:BU32))</f>
        <v>1</v>
      </c>
      <c r="BV34" s="312">
        <f t="array" ref="BV34">MEDIAN(IF(ISNUMBER(BV3:BV32),BV3:BV32))</f>
        <v>2.9042304657102686E-2</v>
      </c>
      <c r="BW34" s="452">
        <f>$E$1</f>
        <v>3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0.58144766241365486</v>
      </c>
      <c r="CA34" s="312">
        <f t="array" ref="CA34">MEDIAN(IF(ISNUMBER(CA3:CA32),CA3:CA32))</f>
        <v>0.65923975226481868</v>
      </c>
      <c r="CB34" s="312">
        <f t="array" ref="CB34">MEDIAN(IF(ISNUMBER(CB3:CB32),CB3:CB32))</f>
        <v>0.85737400175393774</v>
      </c>
      <c r="CC34" s="312">
        <f t="array" ref="CC34">MEDIAN(IF(ISNUMBER(CC3:CC32),CC3:CC32))</f>
        <v>0.97095769534289733</v>
      </c>
      <c r="CD34" s="452">
        <f>$E$1</f>
        <v>3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25.841746420841684</v>
      </c>
      <c r="CH34" s="26">
        <f t="array" ref="CH34">MEDIAN(IF(ISNUMBER(CH3:CH32),CH3:CH32))</f>
        <v>7.5356236274449842</v>
      </c>
      <c r="CI34" s="26">
        <f t="array" ref="CI34">MEDIAN(IF(ISNUMBER(CI3:CI32),CI3:CI32))</f>
        <v>64.417448659079938</v>
      </c>
      <c r="CJ34" s="26">
        <f t="array" ref="CJ34">MEDIAN(IF(ISNUMBER(CJ3:CJ32),CJ3:CJ32))</f>
        <v>0</v>
      </c>
      <c r="CK34" s="452">
        <f>$E$1</f>
        <v>3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0.40116066312413895</v>
      </c>
      <c r="CO34" s="312">
        <f t="array" ref="CO34">MEDIAN(IF(ISNUMBER(CO3:CO32),CO3:CO32))</f>
        <v>0.11698109416481528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52">
        <f>$E$1</f>
        <v>3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0.59883933687586111</v>
      </c>
      <c r="CV34" s="312">
        <f t="array" ref="CV34">MEDIAN(IF(ISNUMBER(CV3:CV32),CV3:CV32))</f>
        <v>0.70839340713569532</v>
      </c>
      <c r="CW34" s="312">
        <f t="array" ref="CW34">MEDIAN(IF(ISNUMBER(CW3:CW32),CW3:CW32))</f>
        <v>0.88301890583518472</v>
      </c>
      <c r="CX34" s="312">
        <f t="array" ref="CX34">MEDIAN(IF(ISNUMBER(CX3:CX32),CX3:CX32))</f>
        <v>1</v>
      </c>
      <c r="CY34" s="452">
        <f>$E$1</f>
        <v>3</v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69"/>
        <v>0</v>
      </c>
      <c r="J36" s="38">
        <f t="shared" si="69"/>
        <v>0</v>
      </c>
      <c r="K36" s="38">
        <f t="shared" si="69"/>
        <v>0</v>
      </c>
      <c r="AN36" s="117"/>
      <c r="AO36" s="157"/>
      <c r="AP36" s="173"/>
      <c r="AR36" s="128" t="s">
        <v>83</v>
      </c>
      <c r="AS36" s="229">
        <f>(AS34-AS38)/(((AS34+AS38))/2)</f>
        <v>0</v>
      </c>
      <c r="AT36" s="229">
        <f t="shared" ref="AT36:AV36" si="71">(AT34-AT38)/(((AT34+AT38))/2)</f>
        <v>0</v>
      </c>
      <c r="AU36" s="229">
        <f t="shared" si="71"/>
        <v>0</v>
      </c>
      <c r="AV36" s="229">
        <f t="shared" si="71"/>
        <v>0</v>
      </c>
      <c r="AY36" s="229">
        <f>(AY34-AY38)/(((AY34+AY38))/2)</f>
        <v>0</v>
      </c>
      <c r="AZ36" s="229">
        <f t="shared" ref="AZ36:BB36" si="72">(AZ34-AZ38)/(((AZ34+AZ38))/2)</f>
        <v>0</v>
      </c>
      <c r="BA36" s="229">
        <f t="shared" si="72"/>
        <v>0</v>
      </c>
      <c r="BB36" s="229">
        <f t="shared" si="72"/>
        <v>0</v>
      </c>
      <c r="BC36" s="140"/>
      <c r="BG36" s="296" t="str">
        <f t="shared" si="70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3">(BM34-BM38)/(((BM34+BM38))/2)</f>
        <v>0</v>
      </c>
      <c r="BN36" s="229">
        <f t="shared" si="73"/>
        <v>0</v>
      </c>
      <c r="BO36" s="229">
        <f t="shared" si="73"/>
        <v>0</v>
      </c>
      <c r="BP36" s="14"/>
      <c r="BS36" s="229">
        <f>(BS34-BS38)/(((BS34+BS38))/2)</f>
        <v>0</v>
      </c>
      <c r="BT36" s="229">
        <f t="shared" ref="BT36:BV36" si="74">(BT34-BT38)/(((BT34+BT38))/2)</f>
        <v>0</v>
      </c>
      <c r="BU36" s="229">
        <f t="shared" si="74"/>
        <v>0</v>
      </c>
      <c r="BV36" s="229">
        <f t="shared" si="74"/>
        <v>0</v>
      </c>
      <c r="BW36" s="14"/>
      <c r="BZ36" s="229">
        <f t="shared" ref="BZ36:CC36" si="75">(BZ34-BZ38)/(((BZ34+BZ38))/2)</f>
        <v>0</v>
      </c>
      <c r="CA36" s="229">
        <f t="shared" si="75"/>
        <v>0</v>
      </c>
      <c r="CB36" s="229">
        <f t="shared" si="75"/>
        <v>0</v>
      </c>
      <c r="CC36" s="229">
        <f t="shared" si="75"/>
        <v>0</v>
      </c>
      <c r="CD36" s="13"/>
      <c r="CG36" s="229">
        <f>(CG34-CG38)/(((CG34+CG38))/2)</f>
        <v>0</v>
      </c>
      <c r="CH36" s="229">
        <f t="shared" ref="CH36:CI36" si="76">(CH34-CH38)/(((CH34+CH38))/2)</f>
        <v>0</v>
      </c>
      <c r="CI36" s="229">
        <f t="shared" si="76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77">(CO34-CO38)/(((CO34+CO38))/2)</f>
        <v>0</v>
      </c>
      <c r="CP36" s="229">
        <f t="shared" si="77"/>
        <v>0</v>
      </c>
      <c r="CQ36" s="229" t="e">
        <f t="shared" si="77"/>
        <v>#DIV/0!</v>
      </c>
      <c r="CR36" s="14"/>
      <c r="CU36" s="229">
        <f t="shared" ref="CU36:CX36" si="78">(CU34-CU38)/(((CU34+CU38))/2)</f>
        <v>0</v>
      </c>
      <c r="CV36" s="229">
        <f t="shared" si="78"/>
        <v>0</v>
      </c>
      <c r="CW36" s="229">
        <f t="shared" si="78"/>
        <v>0</v>
      </c>
      <c r="CX36" s="229">
        <f t="shared" si="78"/>
        <v>0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1</v>
      </c>
      <c r="F37" s="52"/>
      <c r="G37" s="175"/>
      <c r="H37" s="291">
        <f t="shared" si="69"/>
        <v>1</v>
      </c>
      <c r="I37" s="291">
        <f t="shared" si="69"/>
        <v>1</v>
      </c>
      <c r="J37" s="291">
        <f t="shared" si="69"/>
        <v>1</v>
      </c>
      <c r="K37" s="291">
        <f t="shared" si="69"/>
        <v>1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1</v>
      </c>
      <c r="AT37" s="291">
        <f>COUNT(AT3:AT32)</f>
        <v>1</v>
      </c>
      <c r="AU37" s="291">
        <f>COUNT(AU3:AU32)</f>
        <v>1</v>
      </c>
      <c r="AV37" s="291">
        <f>COUNT(AV3:AV32)</f>
        <v>1</v>
      </c>
      <c r="AW37" s="292"/>
      <c r="AX37" s="290" t="str">
        <f>$AR37</f>
        <v>n</v>
      </c>
      <c r="AY37" s="291">
        <f>COUNT(AY3:AY32)</f>
        <v>1</v>
      </c>
      <c r="AZ37" s="291">
        <f>COUNT(AZ3:AZ32)</f>
        <v>1</v>
      </c>
      <c r="BA37" s="291">
        <f>COUNT(BA3:BA32)</f>
        <v>1</v>
      </c>
      <c r="BB37" s="291">
        <f>COUNT(BB3:BB32)</f>
        <v>1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1</v>
      </c>
      <c r="BJ37" s="54"/>
      <c r="BK37" s="290" t="str">
        <f>$AR37</f>
        <v>n</v>
      </c>
      <c r="BL37" s="291">
        <f>COUNT(BL3:BL32)</f>
        <v>1</v>
      </c>
      <c r="BM37" s="291">
        <f>COUNT(BM3:BM32)</f>
        <v>1</v>
      </c>
      <c r="BN37" s="291">
        <f>COUNT(BN3:BN32)</f>
        <v>1</v>
      </c>
      <c r="BO37" s="291">
        <f>COUNT(BO3:BO32)</f>
        <v>1</v>
      </c>
      <c r="BP37" s="177"/>
      <c r="BQ37" s="54"/>
      <c r="BR37" s="290" t="str">
        <f>$AR37</f>
        <v>n</v>
      </c>
      <c r="BS37" s="291">
        <f>COUNT(BS3:BS32)</f>
        <v>1</v>
      </c>
      <c r="BT37" s="291">
        <f>COUNT(BT3:BT32)</f>
        <v>1</v>
      </c>
      <c r="BU37" s="291">
        <f>COUNT(BU3:BU32)</f>
        <v>1</v>
      </c>
      <c r="BV37" s="291">
        <f>COUNT(BV3:BV32)</f>
        <v>1</v>
      </c>
      <c r="BW37" s="177"/>
      <c r="BX37" s="54"/>
      <c r="BY37" s="290" t="str">
        <f>$AR37</f>
        <v>n</v>
      </c>
      <c r="BZ37" s="291">
        <f>COUNT(BZ3:BZ32)</f>
        <v>1</v>
      </c>
      <c r="CA37" s="291">
        <f>COUNT(CA3:CA32)</f>
        <v>1</v>
      </c>
      <c r="CB37" s="291">
        <f>COUNT(CB3:CB32)</f>
        <v>1</v>
      </c>
      <c r="CC37" s="291">
        <f>COUNT(CC3:CC32)</f>
        <v>1</v>
      </c>
      <c r="CD37" s="178"/>
      <c r="CE37" s="54"/>
      <c r="CF37" s="290" t="str">
        <f>$AR37</f>
        <v>n</v>
      </c>
      <c r="CG37" s="291">
        <f>COUNT(CG3:CG32)</f>
        <v>1</v>
      </c>
      <c r="CH37" s="291">
        <f>COUNT(CH3:CH32)</f>
        <v>1</v>
      </c>
      <c r="CI37" s="291">
        <f>COUNT(CI3:CI32)</f>
        <v>1</v>
      </c>
      <c r="CJ37" s="291">
        <f>COUNT(CJ3:CJ32)</f>
        <v>1</v>
      </c>
      <c r="CK37" s="177"/>
      <c r="CL37" s="54"/>
      <c r="CM37" s="290" t="str">
        <f>$AR37</f>
        <v>n</v>
      </c>
      <c r="CN37" s="291">
        <f>COUNT(CN3:CN32)</f>
        <v>1</v>
      </c>
      <c r="CO37" s="291">
        <f>COUNT(CO3:CO32)</f>
        <v>1</v>
      </c>
      <c r="CP37" s="291">
        <f>COUNT(CP3:CP32)</f>
        <v>1</v>
      </c>
      <c r="CQ37" s="291">
        <f>COUNT(CQ3:CQ32)</f>
        <v>1</v>
      </c>
      <c r="CR37" s="177"/>
      <c r="CS37" s="54"/>
      <c r="CT37" s="290" t="str">
        <f>$AR37</f>
        <v>n</v>
      </c>
      <c r="CU37" s="291">
        <f>COUNT(CU3:CU32)</f>
        <v>1</v>
      </c>
      <c r="CV37" s="291">
        <f>COUNT(CV3:CV32)</f>
        <v>1</v>
      </c>
      <c r="CW37" s="291">
        <f>COUNT(CW3:CW32)</f>
        <v>1</v>
      </c>
      <c r="CX37" s="291">
        <f>COUNT(CX3:CX32)</f>
        <v>1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>
        <f t="shared" si="68"/>
        <v>2</v>
      </c>
      <c r="F38" s="214"/>
      <c r="G38" s="215"/>
      <c r="H38" s="295">
        <f t="shared" si="69"/>
        <v>27.768536000000001</v>
      </c>
      <c r="I38" s="295">
        <f t="shared" si="69"/>
        <v>9.4624132066033013</v>
      </c>
      <c r="J38" s="295">
        <f t="shared" si="69"/>
        <v>66.344238238238248</v>
      </c>
      <c r="K38" s="295">
        <f t="shared" si="69"/>
        <v>1.9267895791583167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27.768536000000001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9.4576820000000001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66.277894000000003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1.922936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122.4932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117.6909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55.490299999999998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30.888200000000001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1</v>
      </c>
      <c r="BI38" s="311">
        <f>AVERAGE(BI3:BI32)</f>
        <v>2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27.768536000000001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9.4624132066033013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66.344238238238248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1.9267895791583167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0.41855233758634514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0.1426259982460622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2.9042304657102686E-2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0.58144766241365486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0.65923975226481868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0.85737400175393774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0.97095769534289733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25.841746420841684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7.5356236274449842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64.417448659079938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0.40116066312413895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0.11698109416481528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0.59883933687586111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0.70839340713569532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0.88301890583518472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1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2005-04-09 EF-01A.DLD</v>
      </c>
      <c r="C41" s="277"/>
      <c r="D41" s="30"/>
      <c r="F41" s="55" t="s">
        <v>16</v>
      </c>
      <c r="G41" s="56" t="str">
        <f>AC45</f>
        <v>2A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>
        <f>E42</f>
        <v>3.01</v>
      </c>
      <c r="B42" s="286" t="s">
        <v>26</v>
      </c>
      <c r="C42" s="88" t="str">
        <f>AB47</f>
        <v>32D</v>
      </c>
      <c r="D42" s="88">
        <f>AB49</f>
        <v>0</v>
      </c>
      <c r="E42" s="278">
        <f>IF(ISNUMBER(AB50),AB50+0.01*AB51,"")</f>
        <v>3.01</v>
      </c>
      <c r="F42" s="279" t="s">
        <v>10</v>
      </c>
      <c r="G42" s="98">
        <f>AE53</f>
        <v>-1.0690999999999999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3.01</v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1</v>
      </c>
      <c r="AL42" s="182">
        <f t="shared" si="80"/>
        <v>1</v>
      </c>
      <c r="AM42" s="182">
        <f t="shared" si="80"/>
        <v>2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1</v>
      </c>
      <c r="F43" s="279" t="s">
        <v>11</v>
      </c>
      <c r="G43" s="99">
        <f>AE54</f>
        <v>0.02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1</v>
      </c>
      <c r="AK43" s="60">
        <f>$E43-($E43*(SUM(AJ42:AK42))/1000)/2</f>
        <v>0.99950000000000006</v>
      </c>
      <c r="AL43" s="60">
        <f>$E43-($E43*(SUM(AJ42:AL42))/1000)/2</f>
        <v>0.999</v>
      </c>
      <c r="AM43" s="60">
        <f>$E43-($E43*(SUM(AJ42:AM42))/1000)/2</f>
        <v>0.998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 t="str">
        <f>AB46</f>
        <v>CCP</v>
      </c>
      <c r="C44" s="283" t="s">
        <v>7</v>
      </c>
      <c r="D44" s="283" t="s">
        <v>176</v>
      </c>
      <c r="E44" s="100">
        <f>AB53</f>
        <v>2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253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247</v>
      </c>
      <c r="AC45" s="245" t="s">
        <v>126</v>
      </c>
      <c r="AD45" s="246" t="s">
        <v>37</v>
      </c>
      <c r="AE45" s="247" t="s">
        <v>38</v>
      </c>
      <c r="AF45" s="248" t="s">
        <v>236</v>
      </c>
      <c r="AG45" s="102" t="s">
        <v>185</v>
      </c>
      <c r="AH45" s="15" t="s">
        <v>34</v>
      </c>
      <c r="AI45" s="15" t="s">
        <v>186</v>
      </c>
      <c r="AJ45" s="507" t="s">
        <v>165</v>
      </c>
      <c r="AK45" s="31" t="s">
        <v>179</v>
      </c>
      <c r="AL45" s="32" t="s">
        <v>180</v>
      </c>
      <c r="AM45" s="33" t="s">
        <v>207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178</v>
      </c>
      <c r="AC46" s="250"/>
      <c r="AD46" s="251" t="s">
        <v>40</v>
      </c>
      <c r="AE46" s="247">
        <v>37</v>
      </c>
      <c r="AF46" s="252" t="s">
        <v>187</v>
      </c>
      <c r="AG46" s="102"/>
      <c r="AH46" s="186" t="s">
        <v>188</v>
      </c>
      <c r="AI46" s="186"/>
      <c r="AJ46" s="133">
        <v>0</v>
      </c>
      <c r="AK46" s="133">
        <v>1</v>
      </c>
      <c r="AL46" s="133">
        <v>1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 t="s">
        <v>237</v>
      </c>
      <c r="AC47" s="254"/>
      <c r="AD47" s="158" t="s">
        <v>42</v>
      </c>
      <c r="AE47" s="117"/>
      <c r="AF47" s="255" t="s">
        <v>6</v>
      </c>
      <c r="AG47" s="14"/>
      <c r="AH47" s="186" t="s">
        <v>189</v>
      </c>
      <c r="AI47" s="186"/>
      <c r="AJ47" s="188">
        <v>1.3692129629629629E-2</v>
      </c>
      <c r="AK47" s="188">
        <v>1.8287037037037036E-2</v>
      </c>
      <c r="AL47" s="188">
        <v>3.471064814814815E-2</v>
      </c>
      <c r="AM47" s="188">
        <v>6.0659722222222219E-2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>
        <v>6.4455999999999998</v>
      </c>
      <c r="AF48" s="255" t="s">
        <v>190</v>
      </c>
      <c r="AG48" s="14"/>
      <c r="AH48" s="186" t="s">
        <v>191</v>
      </c>
      <c r="AI48" s="188"/>
      <c r="AJ48" s="188">
        <v>1.525462962962963E-2</v>
      </c>
      <c r="AK48" s="188">
        <v>1.9201388888888889E-2</v>
      </c>
      <c r="AL48" s="188">
        <v>3.4930555555555555E-2</v>
      </c>
      <c r="AM48" s="188">
        <v>6.174768518518519E-2</v>
      </c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2.1999999999999999E-2</v>
      </c>
      <c r="AF49" s="255" t="s">
        <v>190</v>
      </c>
      <c r="AG49" s="177"/>
      <c r="AH49" s="189" t="s">
        <v>192</v>
      </c>
      <c r="AI49" s="190"/>
      <c r="AJ49" s="189">
        <v>68</v>
      </c>
      <c r="AK49" s="189">
        <v>39</v>
      </c>
      <c r="AL49" s="189">
        <v>10</v>
      </c>
      <c r="AM49" s="189">
        <v>47</v>
      </c>
      <c r="AP49" s="74"/>
      <c r="AQ49" s="69">
        <f>BN51</f>
        <v>66.344238238238248</v>
      </c>
      <c r="AR49" s="70">
        <f>BO51</f>
        <v>1.9267895791583167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3</v>
      </c>
      <c r="AC50" s="254"/>
      <c r="AD50" s="158" t="s">
        <v>47</v>
      </c>
      <c r="AE50" s="117">
        <v>86.3</v>
      </c>
      <c r="AF50" s="255" t="s">
        <v>193</v>
      </c>
      <c r="AG50" s="103"/>
      <c r="AH50" s="104" t="s">
        <v>249</v>
      </c>
      <c r="AI50" s="16" t="s">
        <v>6</v>
      </c>
      <c r="AJ50" s="71">
        <v>122.4932</v>
      </c>
      <c r="AK50" s="71">
        <v>117.6909</v>
      </c>
      <c r="AL50" s="71">
        <v>55.490299999999998</v>
      </c>
      <c r="AM50" s="71">
        <v>30.888200000000001</v>
      </c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3Ama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194</v>
      </c>
      <c r="AH51" s="106" t="s">
        <v>250</v>
      </c>
      <c r="AI51" s="17" t="s">
        <v>4</v>
      </c>
      <c r="AJ51" s="8">
        <v>29.1493</v>
      </c>
      <c r="AK51" s="8">
        <v>10.7424</v>
      </c>
      <c r="AL51" s="8">
        <v>66.318600000000004</v>
      </c>
      <c r="AM51" s="8">
        <v>1.4716</v>
      </c>
      <c r="AP51" s="459">
        <f>E42</f>
        <v>3.01</v>
      </c>
      <c r="AQ51" s="510" t="s">
        <v>5</v>
      </c>
      <c r="AR51" s="37" t="s">
        <v>4</v>
      </c>
      <c r="AS51" s="21">
        <f>IF(ISNUMBER(AJ51),AJ51-($G43*AJ50+$G42),"")</f>
        <v>27.768536000000001</v>
      </c>
      <c r="AT51" s="21">
        <f>IF(ISNUMBER(AK51),AK51-($G43*AK50+$G42),"")</f>
        <v>9.4576820000000001</v>
      </c>
      <c r="AU51" s="21">
        <f>IF(ISNUMBER(AL51),AL51-($G43*AL50+$G42),"")</f>
        <v>66.277894000000003</v>
      </c>
      <c r="AV51" s="21">
        <f>IF(ISNUMBER(AM51),AM51-($G43*AM50+$G42),"")</f>
        <v>1.922936</v>
      </c>
      <c r="AW51" s="107" t="str">
        <f>$AH50</f>
        <v>2A: O2 concentration</v>
      </c>
      <c r="AX51" s="107" t="str">
        <f>$AI50</f>
        <v>µM</v>
      </c>
      <c r="AY51" s="73">
        <f>IF(ISNUMBER(AJ50),AJ50,"")</f>
        <v>122.4932</v>
      </c>
      <c r="AZ51" s="73">
        <f>IF(ISNUMBER(AK50),AK50,"")</f>
        <v>117.6909</v>
      </c>
      <c r="BA51" s="73">
        <f>IF(ISNUMBER(AL50),AL50,"")</f>
        <v>55.490299999999998</v>
      </c>
      <c r="BB51" s="73">
        <f t="shared" ref="BB51" si="88">IF(ISNUMBER(AM50),AM50,"")</f>
        <v>30.888200000000001</v>
      </c>
      <c r="BC51" s="166"/>
      <c r="BD51" s="176" t="str">
        <f>$AA44</f>
        <v>2005-04-09 EF-01A.DLD</v>
      </c>
      <c r="BE51" s="193">
        <f>$D42</f>
        <v>0</v>
      </c>
      <c r="BF51" s="124">
        <f>$B43</f>
        <v>0</v>
      </c>
      <c r="BG51" s="194">
        <f>$E42</f>
        <v>3.01</v>
      </c>
      <c r="BH51" s="195"/>
      <c r="BI51" s="196">
        <f>IF(ISNUMBER($AB53),$AB53,"")</f>
        <v>2</v>
      </c>
      <c r="BJ51" s="511" t="str">
        <f>AH2</f>
        <v>O2 flow per cells</v>
      </c>
      <c r="BK51" s="511" t="str">
        <f>AI2</f>
        <v>pmol/(s*Mill)</v>
      </c>
      <c r="BL51" s="7">
        <f>IF(ISNUMBER(AS51),AS51/AJ43,"")</f>
        <v>27.768536000000001</v>
      </c>
      <c r="BM51" s="7">
        <f>IF(ISNUMBER(AT51),AT51/AK43,"")</f>
        <v>9.4624132066033013</v>
      </c>
      <c r="BN51" s="7">
        <f>IF(ISNUMBER(AU51),AU51/AL43,"")</f>
        <v>66.344238238238248</v>
      </c>
      <c r="BO51" s="7">
        <f>IF(ISNUMBER(AV51),AV51/AM43,"")</f>
        <v>1.9267895791583167</v>
      </c>
      <c r="BP51" s="194">
        <f>$E42</f>
        <v>3.01</v>
      </c>
      <c r="BQ51" s="6" t="s">
        <v>19</v>
      </c>
      <c r="BR51" s="6" t="s">
        <v>20</v>
      </c>
      <c r="BS51" s="5">
        <f>IF(ISNUMBER(BL51),BL51/$AQ49,"")</f>
        <v>0.41855233758634514</v>
      </c>
      <c r="BT51" s="5">
        <f>IF(ISNUMBER(BM51),BM51/$AQ49,"")</f>
        <v>0.1426259982460622</v>
      </c>
      <c r="BU51" s="5">
        <f t="shared" ref="BU51" si="89">IF(ISNUMBER(BN51),BN51/$AQ49,"")</f>
        <v>1</v>
      </c>
      <c r="BV51" s="5">
        <f>IF(ISNUMBER(BO51),BO51/$AQ49,"")</f>
        <v>2.9042304657102686E-2</v>
      </c>
      <c r="BW51" s="194">
        <f>$E42</f>
        <v>3.01</v>
      </c>
      <c r="BX51" s="6" t="s">
        <v>18</v>
      </c>
      <c r="BY51" s="6" t="s">
        <v>21</v>
      </c>
      <c r="BZ51" s="5">
        <f>IF(ISNUMBER(BN51),1-BL51/BN51,"")</f>
        <v>0.58144766241365486</v>
      </c>
      <c r="CA51" s="5">
        <f>IF(ISNUMBER(BM51),1-BM51/BL51,"")</f>
        <v>0.65923975226481868</v>
      </c>
      <c r="CB51" s="5">
        <f>IF(ISNUMBER(BM51),1-BM51/BN51,"")</f>
        <v>0.85737400175393774</v>
      </c>
      <c r="CC51" s="5">
        <f>IF(ISNUMBER(BN51),1-BO51/BN51,"")</f>
        <v>0.97095769534289733</v>
      </c>
      <c r="CD51" s="194">
        <f>$E42</f>
        <v>3.01</v>
      </c>
      <c r="CE51" s="511" t="str">
        <f>AH3</f>
        <v>O2 flow per cells (mt: ROX-corr.)</v>
      </c>
      <c r="CF51" s="511" t="str">
        <f>AI2</f>
        <v>pmol/(s*Mill)</v>
      </c>
      <c r="CG51" s="7">
        <f>IF(ISNUMBER(BL51),BL51-$AR49,"")</f>
        <v>25.841746420841684</v>
      </c>
      <c r="CH51" s="7">
        <f>IF(ISNUMBER(BM51),BM51-$AR49,"")</f>
        <v>7.5356236274449842</v>
      </c>
      <c r="CI51" s="7">
        <f>IF(ISNUMBER(BN51),BN51-$AR49,"")</f>
        <v>64.417448659079938</v>
      </c>
      <c r="CJ51" s="7">
        <f>IF(ISNUMBER(BO51),BO51-$AR49,"")</f>
        <v>0</v>
      </c>
      <c r="CK51" s="194">
        <f>$E42</f>
        <v>3.01</v>
      </c>
      <c r="CL51" s="6" t="s">
        <v>3</v>
      </c>
      <c r="CM51" s="6" t="s">
        <v>1</v>
      </c>
      <c r="CN51" s="5">
        <f>IF(ISNUMBER(CG51),CG51/($AQ49-$AR49),"")</f>
        <v>0.40116066312413895</v>
      </c>
      <c r="CO51" s="5">
        <f>IF(ISNUMBER(CH51),CH51/($AQ49-$AR49),"")</f>
        <v>0.11698109416481528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3.01</v>
      </c>
      <c r="CS51" s="6" t="s">
        <v>2</v>
      </c>
      <c r="CT51" s="6" t="s">
        <v>1</v>
      </c>
      <c r="CU51" s="5">
        <f>IF(ISNUMBER(CI51),1-CG51/CI51,"")</f>
        <v>0.59883933687586111</v>
      </c>
      <c r="CV51" s="5">
        <f>IF(ISNUMBER(CH51),1-CH51/CG51,"")</f>
        <v>0.70839340713569532</v>
      </c>
      <c r="CW51" s="5">
        <f>IF(ISNUMBER(CH51),1-CH51/CI51,"")</f>
        <v>0.88301890583518472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</v>
      </c>
      <c r="AC52" s="259" t="s">
        <v>195</v>
      </c>
      <c r="AD52" s="158" t="s">
        <v>196</v>
      </c>
      <c r="AE52" s="256" t="s">
        <v>240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</v>
      </c>
      <c r="AC53" s="261" t="s">
        <v>197</v>
      </c>
      <c r="AD53" s="262" t="s">
        <v>52</v>
      </c>
      <c r="AE53" s="263">
        <v>-1.0690999999999999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0.02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41" priority="2" stopIfTrue="1">
      <formula>ISERROR(AQ3)</formula>
    </cfRule>
  </conditionalFormatting>
  <conditionalFormatting sqref="AS34:AV34">
    <cfRule type="containsErrors" dxfId="40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8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225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39" priority="2" stopIfTrue="1">
      <formula>ISERROR(AQ3)</formula>
    </cfRule>
  </conditionalFormatting>
  <conditionalFormatting sqref="AS34:AV34">
    <cfRule type="containsErrors" dxfId="38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9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23" sqref="G23"/>
    </sheetView>
  </sheetViews>
  <sheetFormatPr baseColWidth="10" defaultColWidth="11.5546875" defaultRowHeight="13.2"/>
  <cols>
    <col min="1" max="1" width="24.6640625" style="93" customWidth="1"/>
    <col min="2" max="2" width="18.6640625" style="116" customWidth="1"/>
    <col min="3" max="3" width="11.6640625" style="116" customWidth="1"/>
    <col min="4" max="5" width="12.6640625" style="116" customWidth="1"/>
    <col min="6" max="6" width="13.88671875" style="116" customWidth="1"/>
    <col min="7" max="7" width="13.6640625" style="116" customWidth="1"/>
    <col min="8" max="25" width="16.6640625" style="116" customWidth="1"/>
    <col min="26" max="26" width="8.88671875" style="132" customWidth="1"/>
    <col min="27" max="27" width="18.6640625" style="130" customWidth="1"/>
    <col min="28" max="29" width="10.6640625" style="130" customWidth="1"/>
    <col min="30" max="30" width="16.6640625" style="130" customWidth="1"/>
    <col min="31" max="31" width="10.6640625" style="130" customWidth="1"/>
    <col min="32" max="32" width="12.6640625" style="130" customWidth="1"/>
    <col min="33" max="33" width="10.6640625" style="130" customWidth="1"/>
    <col min="34" max="34" width="54.109375" style="130" bestFit="1" customWidth="1"/>
    <col min="35" max="35" width="13.6640625" style="130" customWidth="1"/>
    <col min="36" max="39" width="9.6640625" style="116" customWidth="1"/>
    <col min="40" max="40" width="6.6640625" style="116" customWidth="1"/>
    <col min="41" max="41" width="6.6640625" style="89" customWidth="1"/>
    <col min="42" max="42" width="7.6640625" style="89" customWidth="1"/>
    <col min="43" max="43" width="20.6640625" style="128" customWidth="1"/>
    <col min="44" max="44" width="13.6640625" style="128" customWidth="1"/>
    <col min="45" max="48" width="8" style="129" bestFit="1" customWidth="1"/>
    <col min="49" max="49" width="20.109375" style="130" customWidth="1"/>
    <col min="50" max="50" width="7.88671875" style="130" customWidth="1"/>
    <col min="51" max="54" width="9.44140625" style="116" bestFit="1" customWidth="1"/>
    <col min="55" max="55" width="1.5546875" style="89" customWidth="1"/>
    <col min="56" max="56" width="20.6640625" style="130" customWidth="1"/>
    <col min="57" max="57" width="13.6640625" style="130" customWidth="1"/>
    <col min="58" max="58" width="13.6640625" style="128" customWidth="1"/>
    <col min="59" max="60" width="9.6640625" style="131" customWidth="1"/>
    <col min="61" max="61" width="9.6640625" style="116" customWidth="1"/>
    <col min="62" max="62" width="20.6640625" style="130" customWidth="1"/>
    <col min="63" max="63" width="13.6640625" style="130" customWidth="1"/>
    <col min="64" max="67" width="9.44140625" style="129" bestFit="1" customWidth="1"/>
    <col min="68" max="68" width="7.6640625" style="116" customWidth="1"/>
    <col min="69" max="69" width="20.6640625" style="130" customWidth="1"/>
    <col min="70" max="70" width="13.6640625" style="130" customWidth="1"/>
    <col min="71" max="74" width="9.44140625" style="116" bestFit="1" customWidth="1"/>
    <col min="75" max="75" width="7.6640625" style="116" customWidth="1"/>
    <col min="76" max="76" width="20.6640625" style="130" customWidth="1"/>
    <col min="77" max="77" width="13.6640625" style="130" customWidth="1"/>
    <col min="78" max="78" width="8.88671875" style="116" bestFit="1" customWidth="1"/>
    <col min="79" max="81" width="9.44140625" style="116" bestFit="1" customWidth="1"/>
    <col min="82" max="82" width="7.6640625" style="132" customWidth="1"/>
    <col min="83" max="83" width="20.6640625" style="130" customWidth="1"/>
    <col min="84" max="84" width="13.6640625" style="130" customWidth="1"/>
    <col min="85" max="88" width="9.44140625" style="129" bestFit="1" customWidth="1"/>
    <col min="89" max="89" width="7.6640625" style="116" customWidth="1"/>
    <col min="90" max="90" width="20.6640625" style="130" customWidth="1"/>
    <col min="91" max="91" width="13.6640625" style="130" customWidth="1"/>
    <col min="92" max="95" width="9.44140625" style="116" bestFit="1" customWidth="1"/>
    <col min="96" max="96" width="7.6640625" style="116" customWidth="1"/>
    <col min="97" max="97" width="20.6640625" style="130" customWidth="1"/>
    <col min="98" max="98" width="13.6640625" style="130" customWidth="1"/>
    <col min="99" max="99" width="6.44140625" style="116" bestFit="1" customWidth="1"/>
    <col min="100" max="102" width="9.44140625" style="116" bestFit="1" customWidth="1"/>
    <col min="103" max="103" width="5.6640625" style="116" customWidth="1"/>
    <col min="104" max="16384" width="11.5546875" style="116"/>
  </cols>
  <sheetData>
    <row r="1" spans="1:116" ht="16.2" thickBot="1">
      <c r="A1" s="325" t="s">
        <v>226</v>
      </c>
      <c r="B1" s="326" t="str">
        <f>IF(ISTEXT(AB48),AB48,"Cohort")</f>
        <v>Cohort</v>
      </c>
      <c r="C1" s="331" t="str">
        <f>IF(ISTEXT(AB47),AB47,"Type")</f>
        <v>Type</v>
      </c>
      <c r="D1" s="331" t="str">
        <f>IF(ISTEXT(AB49),AB49,"Code")</f>
        <v>Code</v>
      </c>
      <c r="E1" s="327" t="str">
        <f>IF(ISNUMBER(AB50),AB50,"")</f>
        <v/>
      </c>
      <c r="F1" s="326"/>
      <c r="G1" s="432" t="s">
        <v>117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52" t="str">
        <f>$E$1</f>
        <v/>
      </c>
      <c r="AA1" s="475" t="str">
        <f>$G$3</f>
        <v>DatLab 7</v>
      </c>
      <c r="AB1" s="110"/>
      <c r="AC1" s="110"/>
      <c r="AD1" s="110"/>
      <c r="AE1" s="110"/>
      <c r="AF1" s="333" t="s">
        <v>166</v>
      </c>
      <c r="AG1" s="333"/>
      <c r="AH1" s="333" t="s">
        <v>178</v>
      </c>
      <c r="AI1" s="333" t="s">
        <v>13</v>
      </c>
      <c r="AJ1" s="507" t="s">
        <v>165</v>
      </c>
      <c r="AK1" s="334" t="s">
        <v>179</v>
      </c>
      <c r="AL1" s="335" t="s">
        <v>180</v>
      </c>
      <c r="AM1" s="336" t="s">
        <v>207</v>
      </c>
      <c r="AN1" s="111" t="s">
        <v>25</v>
      </c>
      <c r="AO1" s="112" t="s">
        <v>26</v>
      </c>
      <c r="AP1" s="452" t="str">
        <f>$E$1</f>
        <v/>
      </c>
      <c r="AQ1" s="113" t="s">
        <v>14</v>
      </c>
      <c r="AR1" s="113" t="s">
        <v>13</v>
      </c>
      <c r="AS1" s="507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507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116</v>
      </c>
      <c r="BG1" s="452" t="str">
        <f>$E$1</f>
        <v/>
      </c>
      <c r="BH1" s="453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507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52" t="str">
        <f>$E$1</f>
        <v/>
      </c>
      <c r="BQ1" s="114" t="str">
        <f>AQ1</f>
        <v>Quantity</v>
      </c>
      <c r="BR1" s="114" t="str">
        <f>AR1</f>
        <v>Units</v>
      </c>
      <c r="BS1" s="507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52" t="str">
        <f>$E$1</f>
        <v/>
      </c>
      <c r="BX1" s="114" t="str">
        <f>AQ1</f>
        <v>Quantity</v>
      </c>
      <c r="BY1" s="114" t="str">
        <f>AR1</f>
        <v>Units</v>
      </c>
      <c r="BZ1" s="507" t="s">
        <v>204</v>
      </c>
      <c r="CA1" s="31" t="s">
        <v>205</v>
      </c>
      <c r="CB1" s="32" t="s">
        <v>203</v>
      </c>
      <c r="CC1" s="33" t="s">
        <v>206</v>
      </c>
      <c r="CD1" s="452" t="str">
        <f>$E$1</f>
        <v/>
      </c>
      <c r="CE1" s="114" t="str">
        <f>AQ1</f>
        <v>Quantity</v>
      </c>
      <c r="CF1" s="114" t="str">
        <f>AR1</f>
        <v>Units</v>
      </c>
      <c r="CG1" s="507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52" t="str">
        <f>$E$1</f>
        <v/>
      </c>
      <c r="CL1" s="114" t="str">
        <f>AQ1</f>
        <v>Quantity</v>
      </c>
      <c r="CM1" s="114" t="str">
        <f>AR1</f>
        <v>Units</v>
      </c>
      <c r="CN1" s="507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52" t="str">
        <f>$E$1</f>
        <v/>
      </c>
      <c r="CS1" s="114" t="str">
        <f>AQ1</f>
        <v>Quantity</v>
      </c>
      <c r="CT1" s="114" t="str">
        <f>AR1</f>
        <v>Units</v>
      </c>
      <c r="CU1" s="507" t="s">
        <v>204</v>
      </c>
      <c r="CV1" s="31" t="s">
        <v>205</v>
      </c>
      <c r="CW1" s="32" t="s">
        <v>203</v>
      </c>
      <c r="CX1" s="33" t="s">
        <v>206</v>
      </c>
      <c r="CY1" s="452" t="str">
        <f>$E$1</f>
        <v/>
      </c>
    </row>
    <row r="2" spans="1:116" ht="14.4">
      <c r="A2" s="463" t="s">
        <v>67</v>
      </c>
      <c r="B2" s="330" t="str">
        <f>AH1</f>
        <v>CCP</v>
      </c>
      <c r="C2" s="339"/>
      <c r="D2" s="339"/>
      <c r="E2" s="340" t="s">
        <v>92</v>
      </c>
      <c r="F2" s="341">
        <f>E37</f>
        <v>0</v>
      </c>
      <c r="G2" s="455" t="s">
        <v>124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6" t="s">
        <v>77</v>
      </c>
      <c r="AB2" s="118"/>
      <c r="AC2" s="118"/>
      <c r="AD2" s="118"/>
      <c r="AE2" s="118"/>
      <c r="AF2" s="333" t="s">
        <v>167</v>
      </c>
      <c r="AG2" s="333"/>
      <c r="AH2" s="333" t="s">
        <v>169</v>
      </c>
      <c r="AI2" s="333" t="s">
        <v>172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26" t="s">
        <v>184</v>
      </c>
      <c r="CB2" s="118"/>
      <c r="CC2" s="33" t="s">
        <v>184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26" t="s">
        <v>184</v>
      </c>
      <c r="CW2" s="118"/>
      <c r="CX2" s="33" t="s">
        <v>184</v>
      </c>
      <c r="CY2" s="125"/>
    </row>
    <row r="3" spans="1:116" ht="14.4">
      <c r="A3" s="454" t="s">
        <v>80</v>
      </c>
      <c r="B3" s="434" t="s">
        <v>87</v>
      </c>
      <c r="C3" s="317" t="s">
        <v>88</v>
      </c>
      <c r="D3" s="317" t="s">
        <v>89</v>
      </c>
      <c r="E3" s="317" t="s">
        <v>59</v>
      </c>
      <c r="F3" s="317" t="s">
        <v>57</v>
      </c>
      <c r="G3" s="434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3" t="s">
        <v>168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4">
        <f>AW51</f>
        <v>0</v>
      </c>
      <c r="AX3" s="354">
        <f>AX51</f>
        <v>0</v>
      </c>
      <c r="AY3" s="353" t="e">
        <f>IF(ISNUMBER(AY51),AY51,NA())</f>
        <v>#N/A</v>
      </c>
      <c r="AZ3" s="353" t="e">
        <f t="shared" ref="AZ3:BB3" si="1">IF(ISNUMBER(AZ51),AZ51,NA())</f>
        <v>#N/A</v>
      </c>
      <c r="BA3" s="353" t="e">
        <f t="shared" si="1"/>
        <v>#N/A</v>
      </c>
      <c r="BB3" s="353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6" t="str">
        <f>BJ51</f>
        <v>O2 flow per cells</v>
      </c>
      <c r="BK3" s="356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7" t="str">
        <f>BQ51</f>
        <v>Flux control ratio</v>
      </c>
      <c r="BR3" s="357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7" t="str">
        <f>BX51</f>
        <v>Flux control factor</v>
      </c>
      <c r="BY3" s="357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6" t="str">
        <f>CE51</f>
        <v>O2 flow per cells (mt: ROX-corr.)</v>
      </c>
      <c r="CF3" s="356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7" t="str">
        <f>CL51</f>
        <v>FCR (mt: ROX-corr.)</v>
      </c>
      <c r="CM3" s="357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7" t="str">
        <f>CS51</f>
        <v>FCF (mt: ROX-corr.)</v>
      </c>
      <c r="CT3" s="357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73" t="s">
        <v>99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4">
        <f>AW71</f>
        <v>0</v>
      </c>
      <c r="AX4" s="354">
        <f>AX71</f>
        <v>0</v>
      </c>
      <c r="AY4" s="353" t="e">
        <f>IF(ISNUMBER(AY71),AY71,NA())</f>
        <v>#N/A</v>
      </c>
      <c r="AZ4" s="353" t="e">
        <f t="shared" ref="AZ4:BB4" si="10">IF(ISNUMBER(AZ71),AZ71,NA())</f>
        <v>#N/A</v>
      </c>
      <c r="BA4" s="353" t="e">
        <f t="shared" si="10"/>
        <v>#N/A</v>
      </c>
      <c r="BB4" s="353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6" t="str">
        <f>BJ71</f>
        <v>O2 flow per cells</v>
      </c>
      <c r="BK4" s="356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7" t="str">
        <f>BQ71</f>
        <v>Flux control ratio</v>
      </c>
      <c r="BR4" s="357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7" t="str">
        <f>BX71</f>
        <v>Flux control factor</v>
      </c>
      <c r="BY4" s="357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6" t="str">
        <f>CE71</f>
        <v>O2 flow per cells (mt: ROX-corr.)</v>
      </c>
      <c r="CF4" s="356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7" t="str">
        <f>CL71</f>
        <v>FCR (mt: ROX-corr.)</v>
      </c>
      <c r="CM4" s="357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7" t="str">
        <f>CS71</f>
        <v>FCF (mt: ROX-corr.)</v>
      </c>
      <c r="CT4" s="357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 ht="13.8">
      <c r="A5" s="473" t="s">
        <v>108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516" t="s">
        <v>200</v>
      </c>
      <c r="AJ5" s="517"/>
      <c r="AK5" s="517"/>
      <c r="AL5" s="517"/>
      <c r="AM5" s="467" t="s">
        <v>201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4">
        <f>AW91</f>
        <v>0</v>
      </c>
      <c r="AX5" s="354">
        <f>AX91</f>
        <v>0</v>
      </c>
      <c r="AY5" s="353" t="e">
        <f>IF(ISNUMBER(AY91),AY91,NA())</f>
        <v>#N/A</v>
      </c>
      <c r="AZ5" s="353" t="e">
        <f t="shared" ref="AZ5:BB5" si="18">IF(ISNUMBER(AZ91),AZ91,NA())</f>
        <v>#N/A</v>
      </c>
      <c r="BA5" s="353" t="e">
        <f t="shared" si="18"/>
        <v>#N/A</v>
      </c>
      <c r="BB5" s="353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6" t="str">
        <f>BJ91</f>
        <v>O2 flow per cells</v>
      </c>
      <c r="BK5" s="356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7" t="str">
        <f>BQ91</f>
        <v>Flux control ratio</v>
      </c>
      <c r="BR5" s="357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7" t="str">
        <f>BX91</f>
        <v>Flux control factor</v>
      </c>
      <c r="BY5" s="357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6" t="str">
        <f>CE91</f>
        <v>O2 flow per cells (mt: ROX-corr.)</v>
      </c>
      <c r="CF5" s="356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7" t="str">
        <f>CL91</f>
        <v>FCR (mt: ROX-corr.)</v>
      </c>
      <c r="CM5" s="357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7" t="str">
        <f>CS91</f>
        <v>FCF (mt: ROX-corr.)</v>
      </c>
      <c r="CT5" s="357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>
      <c r="A6" s="473" t="s">
        <v>109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518" t="s">
        <v>198</v>
      </c>
      <c r="AJ6" s="519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4">
        <f>AW111</f>
        <v>0</v>
      </c>
      <c r="AX6" s="354">
        <f>AX111</f>
        <v>0</v>
      </c>
      <c r="AY6" s="353" t="e">
        <f>IF(ISNUMBER(AY111),AY111,NA())</f>
        <v>#N/A</v>
      </c>
      <c r="AZ6" s="353" t="e">
        <f t="shared" ref="AZ6:BB6" si="26">IF(ISNUMBER(AZ111),AZ111,NA())</f>
        <v>#N/A</v>
      </c>
      <c r="BA6" s="353" t="e">
        <f t="shared" si="26"/>
        <v>#N/A</v>
      </c>
      <c r="BB6" s="353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6" t="str">
        <f>BJ111</f>
        <v>O2 flow per cells</v>
      </c>
      <c r="BK6" s="356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7" t="str">
        <f>BQ111</f>
        <v>Flux control ratio</v>
      </c>
      <c r="BR6" s="357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7" t="str">
        <f>BX111</f>
        <v>Flux control factor</v>
      </c>
      <c r="BY6" s="357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6" t="str">
        <f>CE111</f>
        <v>O2 flow per cells (mt: ROX-corr.)</v>
      </c>
      <c r="CF6" s="356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7" t="str">
        <f>CL111</f>
        <v>FCR (mt: ROX-corr.)</v>
      </c>
      <c r="CM6" s="357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7" t="str">
        <f>CS111</f>
        <v>FCF (mt: ROX-corr.)</v>
      </c>
      <c r="CT6" s="357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 ht="13.8" thickBot="1">
      <c r="A7" s="473" t="s">
        <v>110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521" t="s">
        <v>199</v>
      </c>
      <c r="AJ7" s="522" t="e">
        <f>AK18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4">
        <f>AW131</f>
        <v>0</v>
      </c>
      <c r="AX7" s="354">
        <f>AX131</f>
        <v>0</v>
      </c>
      <c r="AY7" s="353" t="e">
        <f>IF(ISNUMBER(AY131),AY131,NA())</f>
        <v>#N/A</v>
      </c>
      <c r="AZ7" s="353" t="e">
        <f t="shared" ref="AZ7:BB7" si="34">IF(ISNUMBER(AZ131),AZ131,NA())</f>
        <v>#N/A</v>
      </c>
      <c r="BA7" s="353" t="e">
        <f t="shared" si="34"/>
        <v>#N/A</v>
      </c>
      <c r="BB7" s="353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6" t="str">
        <f>BJ131</f>
        <v>O2 flow per cells</v>
      </c>
      <c r="BK7" s="356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7" t="str">
        <f>BQ131</f>
        <v>Flux control ratio</v>
      </c>
      <c r="BR7" s="357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7" t="str">
        <f>BX131</f>
        <v>Flux control factor</v>
      </c>
      <c r="BY7" s="357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6" t="str">
        <f>CE131</f>
        <v>O2 flow per cells (mt: ROX-corr.)</v>
      </c>
      <c r="CF7" s="356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7" t="str">
        <f>CL131</f>
        <v>FCR (mt: ROX-corr.)</v>
      </c>
      <c r="CM7" s="357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7" t="str">
        <f>CS131</f>
        <v>FCF (mt: ROX-corr.)</v>
      </c>
      <c r="CT7" s="357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73" t="s">
        <v>111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520" t="s">
        <v>165</v>
      </c>
      <c r="AJ8" s="523" t="e">
        <f>AJ18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4">
        <f>AW151</f>
        <v>0</v>
      </c>
      <c r="AX8" s="354">
        <f>AX151</f>
        <v>0</v>
      </c>
      <c r="AY8" s="353" t="e">
        <f>IF(ISNUMBER(AY151),AY151,NA())</f>
        <v>#N/A</v>
      </c>
      <c r="AZ8" s="353" t="e">
        <f t="shared" ref="AZ8:BB8" si="42">IF(ISNUMBER(AZ151),AZ151,NA())</f>
        <v>#N/A</v>
      </c>
      <c r="BA8" s="353" t="e">
        <f t="shared" si="42"/>
        <v>#N/A</v>
      </c>
      <c r="BB8" s="353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6" t="str">
        <f>BJ151</f>
        <v>O2 flow per cells</v>
      </c>
      <c r="BK8" s="356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7" t="str">
        <f>BQ151</f>
        <v>Flux control ratio</v>
      </c>
      <c r="BR8" s="357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7" t="str">
        <f>BX151</f>
        <v>Flux control factor</v>
      </c>
      <c r="BY8" s="357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6" t="str">
        <f>CE151</f>
        <v>O2 flow per cells (mt: ROX-corr.)</v>
      </c>
      <c r="CF8" s="356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7" t="str">
        <f>CL151</f>
        <v>FCR (mt: ROX-corr.)</v>
      </c>
      <c r="CM8" s="357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7" t="str">
        <f>CS151</f>
        <v>FCF (mt: ROX-corr.)</v>
      </c>
      <c r="CT8" s="357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73" t="s">
        <v>112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4">
        <f>AW171</f>
        <v>0</v>
      </c>
      <c r="AX9" s="354">
        <f>AX171</f>
        <v>0</v>
      </c>
      <c r="AY9" s="353" t="e">
        <f>IF(ISNUMBER(AY171),AY171,NA())</f>
        <v>#N/A</v>
      </c>
      <c r="AZ9" s="353" t="e">
        <f t="shared" ref="AZ9:BB9" si="50">IF(ISNUMBER(AZ171),AZ171,NA())</f>
        <v>#N/A</v>
      </c>
      <c r="BA9" s="353" t="e">
        <f t="shared" si="50"/>
        <v>#N/A</v>
      </c>
      <c r="BB9" s="353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6" t="str">
        <f>BJ171</f>
        <v>O2 flow per cells</v>
      </c>
      <c r="BK9" s="356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7" t="str">
        <f>BQ171</f>
        <v>Flux control ratio</v>
      </c>
      <c r="BR9" s="357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7" t="str">
        <f>BX171</f>
        <v>Flux control factor</v>
      </c>
      <c r="BY9" s="357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6" t="str">
        <f>CE171</f>
        <v>O2 flow per cells (mt: ROX-corr.)</v>
      </c>
      <c r="CF9" s="356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7" t="str">
        <f>CL171</f>
        <v>FCR (mt: ROX-corr.)</v>
      </c>
      <c r="CM9" s="357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7" t="str">
        <f>CS171</f>
        <v>FCF (mt: ROX-corr.)</v>
      </c>
      <c r="CT9" s="357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73" t="s">
        <v>113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4">
        <f>AW191</f>
        <v>0</v>
      </c>
      <c r="AX10" s="354">
        <f>AX191</f>
        <v>0</v>
      </c>
      <c r="AY10" s="353" t="e">
        <f>IF(ISNUMBER(AY191),AY191,NA())</f>
        <v>#N/A</v>
      </c>
      <c r="AZ10" s="353" t="e">
        <f t="shared" ref="AZ10:BB10" si="58">IF(ISNUMBER(AZ191),AZ191,NA())</f>
        <v>#N/A</v>
      </c>
      <c r="BA10" s="353" t="e">
        <f t="shared" si="58"/>
        <v>#N/A</v>
      </c>
      <c r="BB10" s="353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6" t="str">
        <f>BJ191</f>
        <v>O2 flow per cells</v>
      </c>
      <c r="BK10" s="356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7" t="str">
        <f>BQ191</f>
        <v>Flux control ratio</v>
      </c>
      <c r="BR10" s="357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7" t="str">
        <f>BX191</f>
        <v>Flux control factor</v>
      </c>
      <c r="BY10" s="357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6" t="str">
        <f>CE191</f>
        <v>O2 flow per cells (mt: ROX-corr.)</v>
      </c>
      <c r="CF10" s="356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7" t="str">
        <f>CL191</f>
        <v>FCR (mt: ROX-corr.)</v>
      </c>
      <c r="CM10" s="357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7" t="str">
        <f>CS191</f>
        <v>FCF (mt: ROX-corr.)</v>
      </c>
      <c r="CT10" s="357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73" t="s">
        <v>114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4"/>
      <c r="AX11" s="354"/>
      <c r="AY11" s="353"/>
      <c r="AZ11" s="353"/>
      <c r="BA11" s="353"/>
      <c r="BB11" s="353"/>
      <c r="BC11" s="140"/>
      <c r="BD11" s="141"/>
      <c r="BE11" s="141"/>
      <c r="BF11" s="142"/>
      <c r="BG11" s="143"/>
      <c r="BH11" s="143"/>
      <c r="BI11" s="144"/>
      <c r="BJ11" s="356"/>
      <c r="BK11" s="356"/>
      <c r="BL11" s="26"/>
      <c r="BM11" s="26"/>
      <c r="BN11" s="26"/>
      <c r="BO11" s="26"/>
      <c r="BP11" s="148"/>
      <c r="BQ11" s="357"/>
      <c r="BR11" s="357"/>
      <c r="BS11" s="24"/>
      <c r="BT11" s="24"/>
      <c r="BU11" s="24"/>
      <c r="BV11" s="24"/>
      <c r="BW11" s="148"/>
      <c r="BX11" s="357"/>
      <c r="BY11" s="357"/>
      <c r="BZ11" s="24"/>
      <c r="CA11" s="24"/>
      <c r="CB11" s="315"/>
      <c r="CC11" s="315"/>
      <c r="CD11" s="148"/>
      <c r="CE11" s="356"/>
      <c r="CF11" s="356"/>
      <c r="CG11" s="38"/>
      <c r="CH11" s="38"/>
      <c r="CI11" s="38"/>
      <c r="CJ11" s="38"/>
      <c r="CK11" s="148"/>
      <c r="CL11" s="357"/>
      <c r="CM11" s="357"/>
      <c r="CN11" s="315"/>
      <c r="CO11" s="315"/>
      <c r="CP11" s="315"/>
      <c r="CQ11" s="315"/>
      <c r="CR11" s="148"/>
      <c r="CS11" s="357"/>
      <c r="CT11" s="357"/>
      <c r="CU11" s="297"/>
      <c r="CV11" s="297"/>
      <c r="CW11" s="297"/>
      <c r="CX11" s="297"/>
      <c r="CY11" s="148"/>
    </row>
    <row r="12" spans="1:116">
      <c r="A12" s="435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4"/>
      <c r="AX12" s="354"/>
      <c r="AY12" s="353"/>
      <c r="AZ12" s="353"/>
      <c r="BA12" s="353"/>
      <c r="BB12" s="353"/>
      <c r="BC12" s="140"/>
      <c r="BD12" s="141"/>
      <c r="BE12" s="141"/>
      <c r="BF12" s="142"/>
      <c r="BG12" s="143"/>
      <c r="BH12" s="143"/>
      <c r="BI12" s="144"/>
      <c r="BJ12" s="356"/>
      <c r="BK12" s="356"/>
      <c r="BL12" s="26"/>
      <c r="BM12" s="26"/>
      <c r="BN12" s="26"/>
      <c r="BO12" s="26"/>
      <c r="BP12" s="148"/>
      <c r="BQ12" s="357"/>
      <c r="BR12" s="357"/>
      <c r="BS12" s="24"/>
      <c r="BT12" s="24"/>
      <c r="BU12" s="24"/>
      <c r="BV12" s="24"/>
      <c r="BW12" s="148"/>
      <c r="BX12" s="357"/>
      <c r="BY12" s="357"/>
      <c r="BZ12" s="24"/>
      <c r="CA12" s="24"/>
      <c r="CB12" s="315"/>
      <c r="CC12" s="315"/>
      <c r="CD12" s="148"/>
      <c r="CE12" s="356"/>
      <c r="CF12" s="356"/>
      <c r="CG12" s="38"/>
      <c r="CH12" s="38"/>
      <c r="CI12" s="38"/>
      <c r="CJ12" s="38"/>
      <c r="CK12" s="148"/>
      <c r="CL12" s="357"/>
      <c r="CM12" s="357"/>
      <c r="CN12" s="315"/>
      <c r="CO12" s="315"/>
      <c r="CP12" s="315"/>
      <c r="CQ12" s="315"/>
      <c r="CR12" s="148"/>
      <c r="CS12" s="357"/>
      <c r="CT12" s="357"/>
      <c r="CU12" s="297"/>
      <c r="CV12" s="297"/>
      <c r="CW12" s="297"/>
      <c r="CX12" s="297"/>
      <c r="CY12" s="148"/>
    </row>
    <row r="13" spans="1:116">
      <c r="A13" s="435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4"/>
      <c r="AX13" s="354"/>
      <c r="AY13" s="353"/>
      <c r="AZ13" s="353"/>
      <c r="BA13" s="353"/>
      <c r="BB13" s="353"/>
      <c r="BC13" s="140"/>
      <c r="BD13" s="141"/>
      <c r="BE13" s="141"/>
      <c r="BF13" s="142"/>
      <c r="BG13" s="143"/>
      <c r="BH13" s="143"/>
      <c r="BI13" s="144"/>
      <c r="BJ13" s="356"/>
      <c r="BK13" s="356"/>
      <c r="BL13" s="26"/>
      <c r="BM13" s="26"/>
      <c r="BN13" s="26"/>
      <c r="BO13" s="26"/>
      <c r="BP13" s="148"/>
      <c r="BQ13" s="357"/>
      <c r="BR13" s="357"/>
      <c r="BS13" s="24"/>
      <c r="BT13" s="24"/>
      <c r="BU13" s="24"/>
      <c r="BV13" s="24"/>
      <c r="BW13" s="148"/>
      <c r="BX13" s="357"/>
      <c r="BY13" s="357"/>
      <c r="BZ13" s="24"/>
      <c r="CA13" s="24"/>
      <c r="CB13" s="315"/>
      <c r="CC13" s="315"/>
      <c r="CD13" s="148"/>
      <c r="CE13" s="356"/>
      <c r="CF13" s="356"/>
      <c r="CG13" s="38"/>
      <c r="CH13" s="38"/>
      <c r="CI13" s="38"/>
      <c r="CJ13" s="38"/>
      <c r="CK13" s="148"/>
      <c r="CL13" s="357"/>
      <c r="CM13" s="357"/>
      <c r="CN13" s="315"/>
      <c r="CO13" s="315"/>
      <c r="CP13" s="315"/>
      <c r="CQ13" s="315"/>
      <c r="CR13" s="148"/>
      <c r="CS13" s="357"/>
      <c r="CT13" s="357"/>
      <c r="CU13" s="297"/>
      <c r="CV13" s="297"/>
      <c r="CW13" s="297"/>
      <c r="CX13" s="297"/>
      <c r="CY13" s="148"/>
    </row>
    <row r="14" spans="1:116">
      <c r="A14" s="435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4"/>
      <c r="AX14" s="354"/>
      <c r="AY14" s="353"/>
      <c r="AZ14" s="353"/>
      <c r="BA14" s="353"/>
      <c r="BB14" s="353"/>
      <c r="BC14" s="140"/>
      <c r="BD14" s="141"/>
      <c r="BE14" s="141"/>
      <c r="BF14" s="142"/>
      <c r="BG14" s="143"/>
      <c r="BH14" s="143"/>
      <c r="BI14" s="144"/>
      <c r="BJ14" s="356"/>
      <c r="BK14" s="356"/>
      <c r="BL14" s="26"/>
      <c r="BM14" s="26"/>
      <c r="BN14" s="26"/>
      <c r="BO14" s="26"/>
      <c r="BP14" s="148"/>
      <c r="BQ14" s="357"/>
      <c r="BR14" s="357"/>
      <c r="BS14" s="24"/>
      <c r="BT14" s="24"/>
      <c r="BU14" s="24"/>
      <c r="BV14" s="24"/>
      <c r="BW14" s="148"/>
      <c r="BX14" s="357"/>
      <c r="BY14" s="357"/>
      <c r="BZ14" s="24"/>
      <c r="CA14" s="24"/>
      <c r="CB14" s="315"/>
      <c r="CC14" s="315"/>
      <c r="CD14" s="148"/>
      <c r="CE14" s="356"/>
      <c r="CF14" s="356"/>
      <c r="CG14" s="38"/>
      <c r="CH14" s="38"/>
      <c r="CI14" s="38"/>
      <c r="CJ14" s="38"/>
      <c r="CK14" s="148"/>
      <c r="CL14" s="357"/>
      <c r="CM14" s="357"/>
      <c r="CN14" s="315"/>
      <c r="CO14" s="315"/>
      <c r="CP14" s="315"/>
      <c r="CQ14" s="315"/>
      <c r="CR14" s="148"/>
      <c r="CS14" s="357"/>
      <c r="CT14" s="357"/>
      <c r="CU14" s="297"/>
      <c r="CV14" s="297"/>
      <c r="CW14" s="297"/>
      <c r="CX14" s="297"/>
      <c r="CY14" s="148"/>
    </row>
    <row r="15" spans="1:116">
      <c r="A15" s="435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4"/>
      <c r="AX15" s="354"/>
      <c r="AY15" s="353"/>
      <c r="AZ15" s="353"/>
      <c r="BA15" s="353"/>
      <c r="BB15" s="353"/>
      <c r="BC15" s="140"/>
      <c r="BD15" s="141"/>
      <c r="BE15" s="141"/>
      <c r="BF15" s="142"/>
      <c r="BG15" s="143"/>
      <c r="BH15" s="143"/>
      <c r="BI15" s="144"/>
      <c r="BJ15" s="356"/>
      <c r="BK15" s="356"/>
      <c r="BL15" s="26"/>
      <c r="BM15" s="26"/>
      <c r="BN15" s="26"/>
      <c r="BO15" s="26"/>
      <c r="BP15" s="148"/>
      <c r="BQ15" s="357"/>
      <c r="BR15" s="357"/>
      <c r="BS15" s="24"/>
      <c r="BT15" s="24"/>
      <c r="BU15" s="24"/>
      <c r="BV15" s="24"/>
      <c r="BW15" s="148"/>
      <c r="BX15" s="357"/>
      <c r="BY15" s="357"/>
      <c r="BZ15" s="24"/>
      <c r="CA15" s="24"/>
      <c r="CB15" s="315"/>
      <c r="CC15" s="315"/>
      <c r="CD15" s="148"/>
      <c r="CE15" s="356"/>
      <c r="CF15" s="356"/>
      <c r="CG15" s="38"/>
      <c r="CH15" s="38"/>
      <c r="CI15" s="38"/>
      <c r="CJ15" s="38"/>
      <c r="CK15" s="148"/>
      <c r="CL15" s="357"/>
      <c r="CM15" s="357"/>
      <c r="CN15" s="315"/>
      <c r="CO15" s="315"/>
      <c r="CP15" s="315"/>
      <c r="CQ15" s="315"/>
      <c r="CR15" s="148"/>
      <c r="CS15" s="357"/>
      <c r="CT15" s="357"/>
      <c r="CU15" s="297"/>
      <c r="CV15" s="297"/>
      <c r="CW15" s="297"/>
      <c r="CX15" s="297"/>
      <c r="CY15" s="148"/>
    </row>
    <row r="16" spans="1:116" ht="13.8" thickBot="1">
      <c r="A16" s="435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4"/>
      <c r="AX16" s="354"/>
      <c r="AY16" s="353"/>
      <c r="AZ16" s="353"/>
      <c r="BA16" s="353"/>
      <c r="BB16" s="353"/>
      <c r="BC16" s="140"/>
      <c r="BD16" s="141"/>
      <c r="BE16" s="141"/>
      <c r="BF16" s="142"/>
      <c r="BG16" s="143"/>
      <c r="BH16" s="143"/>
      <c r="BI16" s="144"/>
      <c r="BJ16" s="356"/>
      <c r="BK16" s="356"/>
      <c r="BL16" s="26"/>
      <c r="BM16" s="26"/>
      <c r="BN16" s="26"/>
      <c r="BO16" s="26"/>
      <c r="BP16" s="148"/>
      <c r="BQ16" s="357"/>
      <c r="BR16" s="357"/>
      <c r="BS16" s="24"/>
      <c r="BT16" s="24"/>
      <c r="BU16" s="24"/>
      <c r="BV16" s="24"/>
      <c r="BW16" s="148"/>
      <c r="BX16" s="357"/>
      <c r="BY16" s="357"/>
      <c r="BZ16" s="24"/>
      <c r="CA16" s="24"/>
      <c r="CB16" s="315"/>
      <c r="CC16" s="315"/>
      <c r="CD16" s="148"/>
      <c r="CE16" s="356"/>
      <c r="CF16" s="356"/>
      <c r="CG16" s="38"/>
      <c r="CH16" s="38"/>
      <c r="CI16" s="38"/>
      <c r="CJ16" s="38"/>
      <c r="CK16" s="148"/>
      <c r="CL16" s="357"/>
      <c r="CM16" s="357"/>
      <c r="CN16" s="315"/>
      <c r="CO16" s="315"/>
      <c r="CP16" s="315"/>
      <c r="CQ16" s="315"/>
      <c r="CR16" s="148"/>
      <c r="CS16" s="357"/>
      <c r="CT16" s="357"/>
      <c r="CU16" s="297"/>
      <c r="CV16" s="297"/>
      <c r="CW16" s="297"/>
      <c r="CX16" s="297"/>
      <c r="CY16" s="148"/>
    </row>
    <row r="17" spans="1:103">
      <c r="A17" s="435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507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4"/>
      <c r="AX17" s="354"/>
      <c r="AY17" s="353"/>
      <c r="AZ17" s="353"/>
      <c r="BA17" s="353"/>
      <c r="BB17" s="353"/>
      <c r="BC17" s="140"/>
      <c r="BD17" s="141"/>
      <c r="BE17" s="141"/>
      <c r="BF17" s="142"/>
      <c r="BG17" s="143"/>
      <c r="BH17" s="143"/>
      <c r="BI17" s="144"/>
      <c r="BJ17" s="356"/>
      <c r="BK17" s="356"/>
      <c r="BL17" s="26"/>
      <c r="BM17" s="26"/>
      <c r="BN17" s="26"/>
      <c r="BO17" s="26"/>
      <c r="BP17" s="148"/>
      <c r="BQ17" s="357"/>
      <c r="BR17" s="357"/>
      <c r="BS17" s="24"/>
      <c r="BT17" s="24"/>
      <c r="BU17" s="24"/>
      <c r="BV17" s="24"/>
      <c r="BW17" s="148"/>
      <c r="BX17" s="357"/>
      <c r="BY17" s="357"/>
      <c r="BZ17" s="24"/>
      <c r="CA17" s="24"/>
      <c r="CB17" s="315"/>
      <c r="CC17" s="315"/>
      <c r="CD17" s="148"/>
      <c r="CE17" s="356"/>
      <c r="CF17" s="356"/>
      <c r="CG17" s="38"/>
      <c r="CH17" s="38"/>
      <c r="CI17" s="38"/>
      <c r="CJ17" s="38"/>
      <c r="CK17" s="148"/>
      <c r="CL17" s="357"/>
      <c r="CM17" s="357"/>
      <c r="CN17" s="315"/>
      <c r="CO17" s="315"/>
      <c r="CP17" s="315"/>
      <c r="CQ17" s="315"/>
      <c r="CR17" s="148"/>
      <c r="CS17" s="357"/>
      <c r="CT17" s="357"/>
      <c r="CU17" s="297"/>
      <c r="CV17" s="297"/>
      <c r="CW17" s="297"/>
      <c r="CX17" s="297"/>
      <c r="CY17" s="148"/>
    </row>
    <row r="18" spans="1:103">
      <c r="A18" s="435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4"/>
      <c r="AX18" s="354"/>
      <c r="AY18" s="353"/>
      <c r="AZ18" s="353"/>
      <c r="BA18" s="353"/>
      <c r="BB18" s="353"/>
      <c r="BC18" s="140"/>
      <c r="BD18" s="141"/>
      <c r="BE18" s="141"/>
      <c r="BF18" s="142"/>
      <c r="BG18" s="143"/>
      <c r="BH18" s="143"/>
      <c r="BI18" s="144"/>
      <c r="BJ18" s="356"/>
      <c r="BK18" s="356"/>
      <c r="BL18" s="26"/>
      <c r="BM18" s="26"/>
      <c r="BN18" s="26"/>
      <c r="BO18" s="26"/>
      <c r="BP18" s="148"/>
      <c r="BQ18" s="357"/>
      <c r="BR18" s="357"/>
      <c r="BS18" s="24"/>
      <c r="BT18" s="24"/>
      <c r="BU18" s="24"/>
      <c r="BV18" s="24"/>
      <c r="BW18" s="148"/>
      <c r="BX18" s="357"/>
      <c r="BY18" s="357"/>
      <c r="BZ18" s="24"/>
      <c r="CA18" s="24"/>
      <c r="CB18" s="315"/>
      <c r="CC18" s="315"/>
      <c r="CD18" s="148"/>
      <c r="CE18" s="356"/>
      <c r="CF18" s="356"/>
      <c r="CG18" s="38"/>
      <c r="CH18" s="38"/>
      <c r="CI18" s="38"/>
      <c r="CJ18" s="38"/>
      <c r="CK18" s="148"/>
      <c r="CL18" s="357"/>
      <c r="CM18" s="357"/>
      <c r="CN18" s="315"/>
      <c r="CO18" s="315"/>
      <c r="CP18" s="315"/>
      <c r="CQ18" s="315"/>
      <c r="CR18" s="148"/>
      <c r="CS18" s="357"/>
      <c r="CT18" s="357"/>
      <c r="CU18" s="297"/>
      <c r="CV18" s="297"/>
      <c r="CW18" s="297"/>
      <c r="CX18" s="297"/>
      <c r="CY18" s="148"/>
    </row>
    <row r="19" spans="1:103">
      <c r="A19" s="435"/>
      <c r="B19" s="149"/>
      <c r="D19" s="88"/>
      <c r="F19" s="89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4"/>
      <c r="AX19" s="354"/>
      <c r="AY19" s="353"/>
      <c r="AZ19" s="353"/>
      <c r="BA19" s="353"/>
      <c r="BB19" s="353"/>
      <c r="BC19" s="140"/>
      <c r="BD19" s="141"/>
      <c r="BE19" s="141"/>
      <c r="BF19" s="142"/>
      <c r="BG19" s="143"/>
      <c r="BH19" s="143"/>
      <c r="BI19" s="144"/>
      <c r="BJ19" s="356"/>
      <c r="BK19" s="356"/>
      <c r="BL19" s="26"/>
      <c r="BM19" s="26"/>
      <c r="BN19" s="26"/>
      <c r="BO19" s="26"/>
      <c r="BP19" s="148"/>
      <c r="BQ19" s="357"/>
      <c r="BR19" s="357"/>
      <c r="BS19" s="24"/>
      <c r="BT19" s="24"/>
      <c r="BU19" s="24"/>
      <c r="BV19" s="24"/>
      <c r="BW19" s="148"/>
      <c r="BX19" s="357"/>
      <c r="BY19" s="357"/>
      <c r="BZ19" s="24"/>
      <c r="CA19" s="24"/>
      <c r="CB19" s="315"/>
      <c r="CC19" s="315"/>
      <c r="CD19" s="148"/>
      <c r="CE19" s="356"/>
      <c r="CF19" s="356"/>
      <c r="CG19" s="38"/>
      <c r="CH19" s="38"/>
      <c r="CI19" s="38"/>
      <c r="CJ19" s="38"/>
      <c r="CK19" s="148"/>
      <c r="CL19" s="357"/>
      <c r="CM19" s="357"/>
      <c r="CN19" s="315"/>
      <c r="CO19" s="315"/>
      <c r="CP19" s="315"/>
      <c r="CQ19" s="315"/>
      <c r="CR19" s="148"/>
      <c r="CS19" s="357"/>
      <c r="CT19" s="357"/>
      <c r="CU19" s="297"/>
      <c r="CV19" s="297"/>
      <c r="CW19" s="297"/>
      <c r="CX19" s="297"/>
      <c r="CY19" s="148"/>
    </row>
    <row r="20" spans="1:103">
      <c r="A20" s="435"/>
      <c r="D20" s="88"/>
      <c r="F20" s="89"/>
      <c r="H20" s="515"/>
      <c r="I20" s="515"/>
      <c r="J20" s="515"/>
      <c r="K20" s="515"/>
      <c r="L20" s="515"/>
      <c r="M20" s="515"/>
      <c r="N20" s="515"/>
      <c r="O20" s="515"/>
      <c r="P20" s="515"/>
      <c r="Q20" s="515"/>
      <c r="R20" s="515"/>
      <c r="S20" s="515"/>
      <c r="T20" s="515"/>
      <c r="U20" s="515"/>
      <c r="V20" s="515"/>
      <c r="W20" s="515"/>
      <c r="X20" s="515"/>
      <c r="Y20" s="515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4"/>
      <c r="AX20" s="354"/>
      <c r="AY20" s="353"/>
      <c r="AZ20" s="353"/>
      <c r="BA20" s="353"/>
      <c r="BB20" s="353"/>
      <c r="BC20" s="140"/>
      <c r="BD20" s="141"/>
      <c r="BE20" s="141"/>
      <c r="BF20" s="142"/>
      <c r="BG20" s="143"/>
      <c r="BH20" s="143"/>
      <c r="BI20" s="144"/>
      <c r="BJ20" s="356"/>
      <c r="BK20" s="356"/>
      <c r="BL20" s="26"/>
      <c r="BM20" s="26"/>
      <c r="BN20" s="26"/>
      <c r="BO20" s="26"/>
      <c r="BP20" s="148"/>
      <c r="BQ20" s="357"/>
      <c r="BR20" s="357"/>
      <c r="BS20" s="24"/>
      <c r="BT20" s="24"/>
      <c r="BU20" s="24"/>
      <c r="BV20" s="24"/>
      <c r="BW20" s="148"/>
      <c r="BX20" s="357"/>
      <c r="BY20" s="357"/>
      <c r="BZ20" s="24"/>
      <c r="CA20" s="24"/>
      <c r="CB20" s="315"/>
      <c r="CC20" s="315"/>
      <c r="CD20" s="148"/>
      <c r="CE20" s="356"/>
      <c r="CF20" s="356"/>
      <c r="CG20" s="38"/>
      <c r="CH20" s="38"/>
      <c r="CI20" s="38"/>
      <c r="CJ20" s="38"/>
      <c r="CK20" s="148"/>
      <c r="CL20" s="357"/>
      <c r="CM20" s="357"/>
      <c r="CN20" s="315"/>
      <c r="CO20" s="315"/>
      <c r="CP20" s="315"/>
      <c r="CQ20" s="315"/>
      <c r="CR20" s="148"/>
      <c r="CS20" s="357"/>
      <c r="CT20" s="357"/>
      <c r="CU20" s="297"/>
      <c r="CV20" s="297"/>
      <c r="CW20" s="297"/>
      <c r="CX20" s="297"/>
      <c r="CY20" s="148"/>
    </row>
    <row r="21" spans="1:103">
      <c r="A21" s="435"/>
      <c r="B21" s="93"/>
      <c r="C21" s="93"/>
      <c r="D21" s="93"/>
      <c r="E21" s="93"/>
      <c r="F21" s="93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4"/>
      <c r="AX21" s="354"/>
      <c r="AY21" s="353"/>
      <c r="AZ21" s="353"/>
      <c r="BA21" s="353"/>
      <c r="BB21" s="353"/>
      <c r="BC21" s="140"/>
      <c r="BD21" s="141"/>
      <c r="BE21" s="141"/>
      <c r="BF21" s="142"/>
      <c r="BG21" s="143"/>
      <c r="BH21" s="143"/>
      <c r="BI21" s="144"/>
      <c r="BJ21" s="356"/>
      <c r="BK21" s="356"/>
      <c r="BL21" s="26"/>
      <c r="BM21" s="26"/>
      <c r="BN21" s="26"/>
      <c r="BO21" s="26"/>
      <c r="BP21" s="148"/>
      <c r="BQ21" s="357"/>
      <c r="BR21" s="357"/>
      <c r="BS21" s="24"/>
      <c r="BT21" s="24"/>
      <c r="BU21" s="24"/>
      <c r="BV21" s="24"/>
      <c r="BW21" s="148"/>
      <c r="BX21" s="357"/>
      <c r="BY21" s="357"/>
      <c r="BZ21" s="24"/>
      <c r="CA21" s="24"/>
      <c r="CB21" s="315"/>
      <c r="CC21" s="315"/>
      <c r="CD21" s="148"/>
      <c r="CE21" s="356"/>
      <c r="CF21" s="356"/>
      <c r="CG21" s="38"/>
      <c r="CH21" s="38"/>
      <c r="CI21" s="38"/>
      <c r="CJ21" s="38"/>
      <c r="CK21" s="148"/>
      <c r="CL21" s="357"/>
      <c r="CM21" s="357"/>
      <c r="CN21" s="315"/>
      <c r="CO21" s="315"/>
      <c r="CP21" s="315"/>
      <c r="CQ21" s="315"/>
      <c r="CR21" s="148"/>
      <c r="CS21" s="357"/>
      <c r="CT21" s="357"/>
      <c r="CU21" s="297"/>
      <c r="CV21" s="297"/>
      <c r="CW21" s="297"/>
      <c r="CX21" s="297"/>
      <c r="CY21" s="148"/>
    </row>
    <row r="22" spans="1:103">
      <c r="A22" s="435"/>
      <c r="B22" s="82"/>
      <c r="C22" s="82"/>
      <c r="D22" s="82"/>
      <c r="E22" s="82"/>
      <c r="F22" s="82"/>
      <c r="G22" s="150" t="s">
        <v>262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4"/>
      <c r="AX22" s="354"/>
      <c r="AY22" s="353"/>
      <c r="AZ22" s="353"/>
      <c r="BA22" s="353"/>
      <c r="BB22" s="353"/>
      <c r="BC22" s="140"/>
      <c r="BD22" s="141"/>
      <c r="BE22" s="141"/>
      <c r="BF22" s="142"/>
      <c r="BG22" s="143"/>
      <c r="BH22" s="143"/>
      <c r="BI22" s="144"/>
      <c r="BJ22" s="356"/>
      <c r="BK22" s="356"/>
      <c r="BL22" s="26"/>
      <c r="BM22" s="26"/>
      <c r="BN22" s="26"/>
      <c r="BO22" s="26"/>
      <c r="BP22" s="148"/>
      <c r="BQ22" s="357"/>
      <c r="BR22" s="357"/>
      <c r="BS22" s="24"/>
      <c r="BT22" s="24"/>
      <c r="BU22" s="24"/>
      <c r="BV22" s="24"/>
      <c r="BW22" s="148"/>
      <c r="BX22" s="357"/>
      <c r="BY22" s="357"/>
      <c r="BZ22" s="24"/>
      <c r="CA22" s="24"/>
      <c r="CB22" s="315"/>
      <c r="CC22" s="315"/>
      <c r="CD22" s="148"/>
      <c r="CE22" s="356"/>
      <c r="CF22" s="356"/>
      <c r="CG22" s="38"/>
      <c r="CH22" s="38"/>
      <c r="CI22" s="38"/>
      <c r="CJ22" s="38"/>
      <c r="CK22" s="148"/>
      <c r="CL22" s="357"/>
      <c r="CM22" s="357"/>
      <c r="CN22" s="315"/>
      <c r="CO22" s="315"/>
      <c r="CP22" s="315"/>
      <c r="CQ22" s="315"/>
      <c r="CR22" s="148"/>
      <c r="CS22" s="357"/>
      <c r="CT22" s="357"/>
      <c r="CU22" s="297"/>
      <c r="CV22" s="297"/>
      <c r="CW22" s="297"/>
      <c r="CX22" s="297"/>
      <c r="CY22" s="148"/>
    </row>
    <row r="23" spans="1:103">
      <c r="A23" s="43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4"/>
      <c r="AX23" s="354"/>
      <c r="AY23" s="353"/>
      <c r="AZ23" s="353"/>
      <c r="BA23" s="353"/>
      <c r="BB23" s="353"/>
      <c r="BC23" s="140"/>
      <c r="BD23" s="141"/>
      <c r="BE23" s="141"/>
      <c r="BF23" s="142"/>
      <c r="BG23" s="143"/>
      <c r="BH23" s="143"/>
      <c r="BI23" s="144"/>
      <c r="BJ23" s="356"/>
      <c r="BK23" s="356"/>
      <c r="BL23" s="26"/>
      <c r="BM23" s="26"/>
      <c r="BN23" s="26"/>
      <c r="BO23" s="26"/>
      <c r="BP23" s="148"/>
      <c r="BQ23" s="357"/>
      <c r="BR23" s="357"/>
      <c r="BS23" s="24"/>
      <c r="BT23" s="24"/>
      <c r="BU23" s="24"/>
      <c r="BV23" s="24"/>
      <c r="BW23" s="148"/>
      <c r="BX23" s="357"/>
      <c r="BY23" s="357"/>
      <c r="BZ23" s="24"/>
      <c r="CA23" s="24"/>
      <c r="CB23" s="315"/>
      <c r="CC23" s="315"/>
      <c r="CD23" s="148"/>
      <c r="CE23" s="356"/>
      <c r="CF23" s="356"/>
      <c r="CG23" s="38"/>
      <c r="CH23" s="38"/>
      <c r="CI23" s="38"/>
      <c r="CJ23" s="38"/>
      <c r="CK23" s="505"/>
      <c r="CL23" s="357"/>
      <c r="CM23" s="357"/>
      <c r="CN23" s="315"/>
      <c r="CO23" s="315"/>
      <c r="CP23" s="315"/>
      <c r="CQ23" s="315"/>
      <c r="CR23" s="148"/>
      <c r="CS23" s="357"/>
      <c r="CT23" s="357"/>
      <c r="CU23" s="297"/>
      <c r="CV23" s="297"/>
      <c r="CW23" s="297"/>
      <c r="CX23" s="297"/>
      <c r="CY23" s="148"/>
    </row>
    <row r="24" spans="1:103">
      <c r="A24" s="435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4"/>
      <c r="AX24" s="354"/>
      <c r="AY24" s="353"/>
      <c r="AZ24" s="353"/>
      <c r="BA24" s="353"/>
      <c r="BB24" s="353"/>
      <c r="BC24" s="140"/>
      <c r="BD24" s="141"/>
      <c r="BE24" s="141"/>
      <c r="BF24" s="142"/>
      <c r="BG24" s="143"/>
      <c r="BH24" s="143"/>
      <c r="BI24" s="144"/>
      <c r="BJ24" s="356"/>
      <c r="BK24" s="356"/>
      <c r="BL24" s="26"/>
      <c r="BM24" s="26"/>
      <c r="BN24" s="26"/>
      <c r="BO24" s="26"/>
      <c r="BP24" s="148"/>
      <c r="BQ24" s="357"/>
      <c r="BR24" s="357"/>
      <c r="BS24" s="24"/>
      <c r="BT24" s="24"/>
      <c r="BU24" s="24"/>
      <c r="BV24" s="24"/>
      <c r="BW24" s="148"/>
      <c r="BX24" s="357"/>
      <c r="BY24" s="357"/>
      <c r="BZ24" s="24"/>
      <c r="CA24" s="24"/>
      <c r="CB24" s="315"/>
      <c r="CC24" s="315"/>
      <c r="CD24" s="148"/>
      <c r="CE24" s="356"/>
      <c r="CF24" s="356"/>
      <c r="CG24" s="38"/>
      <c r="CH24" s="38"/>
      <c r="CI24" s="38"/>
      <c r="CJ24" s="38"/>
      <c r="CK24" s="148"/>
      <c r="CL24" s="357"/>
      <c r="CM24" s="357"/>
      <c r="CN24" s="315"/>
      <c r="CO24" s="315"/>
      <c r="CP24" s="315"/>
      <c r="CQ24" s="315"/>
      <c r="CR24" s="148"/>
      <c r="CS24" s="357"/>
      <c r="CT24" s="357"/>
      <c r="CU24" s="297"/>
      <c r="CV24" s="297"/>
      <c r="CW24" s="297"/>
      <c r="CX24" s="297"/>
      <c r="CY24" s="148"/>
    </row>
    <row r="25" spans="1:103">
      <c r="A25" s="435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4"/>
      <c r="AX25" s="354"/>
      <c r="AY25" s="353"/>
      <c r="AZ25" s="353"/>
      <c r="BA25" s="353"/>
      <c r="BB25" s="353"/>
      <c r="BC25" s="140"/>
      <c r="BD25" s="141"/>
      <c r="BE25" s="141"/>
      <c r="BF25" s="142"/>
      <c r="BG25" s="143"/>
      <c r="BH25" s="143"/>
      <c r="BI25" s="144"/>
      <c r="BJ25" s="356"/>
      <c r="BK25" s="356"/>
      <c r="BL25" s="26"/>
      <c r="BM25" s="26"/>
      <c r="BN25" s="26"/>
      <c r="BO25" s="26"/>
      <c r="BP25" s="148"/>
      <c r="BQ25" s="357"/>
      <c r="BR25" s="357"/>
      <c r="BS25" s="24"/>
      <c r="BT25" s="24"/>
      <c r="BU25" s="24"/>
      <c r="BV25" s="24"/>
      <c r="BW25" s="148"/>
      <c r="BX25" s="357"/>
      <c r="BY25" s="357"/>
      <c r="BZ25" s="24"/>
      <c r="CA25" s="24"/>
      <c r="CB25" s="315"/>
      <c r="CC25" s="315"/>
      <c r="CD25" s="148"/>
      <c r="CE25" s="356"/>
      <c r="CF25" s="356"/>
      <c r="CG25" s="38"/>
      <c r="CH25" s="38"/>
      <c r="CI25" s="38"/>
      <c r="CJ25" s="38"/>
      <c r="CK25" s="148"/>
      <c r="CL25" s="357"/>
      <c r="CM25" s="357"/>
      <c r="CN25" s="315"/>
      <c r="CO25" s="315"/>
      <c r="CP25" s="315"/>
      <c r="CQ25" s="315"/>
      <c r="CR25" s="148"/>
      <c r="CS25" s="357"/>
      <c r="CT25" s="357"/>
      <c r="CU25" s="297"/>
      <c r="CV25" s="297"/>
      <c r="CW25" s="297"/>
      <c r="CX25" s="297"/>
      <c r="CY25" s="148"/>
    </row>
    <row r="26" spans="1:103">
      <c r="A26" s="435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4"/>
      <c r="AX26" s="354"/>
      <c r="AY26" s="353"/>
      <c r="AZ26" s="353"/>
      <c r="BA26" s="353"/>
      <c r="BB26" s="353"/>
      <c r="BC26" s="140"/>
      <c r="BD26" s="141"/>
      <c r="BE26" s="141"/>
      <c r="BF26" s="142"/>
      <c r="BG26" s="143"/>
      <c r="BH26" s="143"/>
      <c r="BI26" s="144"/>
      <c r="BJ26" s="356"/>
      <c r="BK26" s="356"/>
      <c r="BL26" s="26"/>
      <c r="BM26" s="26"/>
      <c r="BN26" s="26"/>
      <c r="BO26" s="26"/>
      <c r="BP26" s="148"/>
      <c r="BQ26" s="357"/>
      <c r="BR26" s="357"/>
      <c r="BS26" s="24"/>
      <c r="BT26" s="24"/>
      <c r="BU26" s="24"/>
      <c r="BV26" s="24"/>
      <c r="BW26" s="148"/>
      <c r="BX26" s="357"/>
      <c r="BY26" s="357"/>
      <c r="BZ26" s="24"/>
      <c r="CA26" s="24"/>
      <c r="CB26" s="315"/>
      <c r="CC26" s="315"/>
      <c r="CD26" s="148"/>
      <c r="CE26" s="356"/>
      <c r="CF26" s="356"/>
      <c r="CG26" s="38"/>
      <c r="CH26" s="38"/>
      <c r="CI26" s="38"/>
      <c r="CJ26" s="38"/>
      <c r="CK26" s="148"/>
      <c r="CL26" s="357"/>
      <c r="CM26" s="357"/>
      <c r="CN26" s="315"/>
      <c r="CO26" s="315"/>
      <c r="CP26" s="315"/>
      <c r="CQ26" s="315"/>
      <c r="CR26" s="148"/>
      <c r="CS26" s="357"/>
      <c r="CT26" s="357"/>
      <c r="CU26" s="297"/>
      <c r="CV26" s="297"/>
      <c r="CW26" s="297"/>
      <c r="CX26" s="297"/>
      <c r="CY26" s="148"/>
    </row>
    <row r="27" spans="1:103">
      <c r="A27" s="435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4"/>
      <c r="AX27" s="354"/>
      <c r="AY27" s="353"/>
      <c r="AZ27" s="353"/>
      <c r="BA27" s="353"/>
      <c r="BB27" s="353"/>
      <c r="BC27" s="140"/>
      <c r="BJ27" s="356"/>
      <c r="BK27" s="356"/>
      <c r="BP27" s="14"/>
      <c r="BQ27" s="357"/>
      <c r="BR27" s="357"/>
      <c r="BW27" s="14"/>
      <c r="BX27" s="357"/>
      <c r="BY27" s="357"/>
      <c r="CB27" s="315"/>
      <c r="CC27" s="315"/>
      <c r="CD27" s="14"/>
      <c r="CE27" s="356"/>
      <c r="CF27" s="356"/>
      <c r="CG27" s="38"/>
      <c r="CH27" s="38"/>
      <c r="CI27" s="38"/>
      <c r="CJ27" s="38"/>
      <c r="CK27" s="14"/>
      <c r="CL27" s="357"/>
      <c r="CM27" s="357"/>
      <c r="CN27" s="315"/>
      <c r="CO27" s="315"/>
      <c r="CP27" s="315"/>
      <c r="CQ27" s="315"/>
      <c r="CR27" s="14"/>
      <c r="CS27" s="357"/>
      <c r="CT27" s="357"/>
      <c r="CY27" s="14"/>
    </row>
    <row r="28" spans="1:103">
      <c r="A28" s="435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4"/>
      <c r="AX28" s="354"/>
      <c r="AY28" s="353"/>
      <c r="AZ28" s="353"/>
      <c r="BA28" s="353"/>
      <c r="BB28" s="353"/>
      <c r="BC28" s="140"/>
      <c r="BJ28" s="356"/>
      <c r="BK28" s="356"/>
      <c r="BP28" s="14"/>
      <c r="BQ28" s="357"/>
      <c r="BR28" s="357"/>
      <c r="BW28" s="14"/>
      <c r="BX28" s="357"/>
      <c r="BY28" s="357"/>
      <c r="CB28" s="315"/>
      <c r="CC28" s="315"/>
      <c r="CD28" s="14"/>
      <c r="CE28" s="356"/>
      <c r="CF28" s="356"/>
      <c r="CG28" s="38"/>
      <c r="CH28" s="38"/>
      <c r="CI28" s="38"/>
      <c r="CJ28" s="38"/>
      <c r="CK28" s="14"/>
      <c r="CL28" s="357"/>
      <c r="CM28" s="357"/>
      <c r="CN28" s="315"/>
      <c r="CO28" s="315"/>
      <c r="CP28" s="315"/>
      <c r="CQ28" s="315"/>
      <c r="CR28" s="14"/>
      <c r="CS28" s="357"/>
      <c r="CT28" s="357"/>
      <c r="CY28" s="14"/>
    </row>
    <row r="29" spans="1:103">
      <c r="A29" s="435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4"/>
      <c r="AX29" s="354"/>
      <c r="AY29" s="353"/>
      <c r="AZ29" s="353"/>
      <c r="BA29" s="353"/>
      <c r="BB29" s="353"/>
      <c r="BC29" s="140"/>
      <c r="BD29" s="116"/>
      <c r="BE29" s="116"/>
      <c r="BF29" s="116"/>
      <c r="BG29" s="116"/>
      <c r="BH29" s="116"/>
      <c r="BJ29" s="356"/>
      <c r="BK29" s="356"/>
      <c r="BL29" s="116"/>
      <c r="BM29" s="116"/>
      <c r="BN29" s="116"/>
      <c r="BO29" s="116"/>
      <c r="BP29" s="14"/>
      <c r="BQ29" s="357"/>
      <c r="BR29" s="357"/>
      <c r="BW29" s="14"/>
      <c r="BX29" s="357"/>
      <c r="BY29" s="357"/>
      <c r="CB29" s="315"/>
      <c r="CC29" s="315"/>
      <c r="CD29" s="14"/>
      <c r="CE29" s="356"/>
      <c r="CF29" s="356"/>
      <c r="CG29" s="38"/>
      <c r="CH29" s="38"/>
      <c r="CI29" s="38"/>
      <c r="CJ29" s="38"/>
      <c r="CK29" s="14"/>
      <c r="CL29" s="357"/>
      <c r="CM29" s="357"/>
      <c r="CN29" s="315"/>
      <c r="CO29" s="315"/>
      <c r="CP29" s="315"/>
      <c r="CQ29" s="315"/>
      <c r="CR29" s="14"/>
      <c r="CS29" s="357"/>
      <c r="CT29" s="357"/>
      <c r="CY29" s="14"/>
    </row>
    <row r="30" spans="1:103">
      <c r="A30" s="435"/>
      <c r="AN30" s="136">
        <f t="shared" si="8"/>
        <v>591</v>
      </c>
      <c r="AO30" s="137">
        <v>28</v>
      </c>
      <c r="AP30" s="138"/>
      <c r="AQ30" s="38"/>
      <c r="AR30" s="38"/>
      <c r="AW30" s="354"/>
      <c r="AX30" s="354"/>
      <c r="AY30" s="353"/>
      <c r="AZ30" s="353"/>
      <c r="BA30" s="353"/>
      <c r="BB30" s="353"/>
      <c r="BC30" s="140"/>
      <c r="BJ30" s="356"/>
      <c r="BK30" s="356"/>
      <c r="BP30" s="14"/>
      <c r="BQ30" s="357"/>
      <c r="BR30" s="357"/>
      <c r="BW30" s="14"/>
      <c r="BX30" s="357"/>
      <c r="BY30" s="357"/>
      <c r="CB30" s="315"/>
      <c r="CC30" s="315"/>
      <c r="CD30" s="14"/>
      <c r="CE30" s="356"/>
      <c r="CF30" s="356"/>
      <c r="CG30" s="38"/>
      <c r="CH30" s="38"/>
      <c r="CI30" s="38"/>
      <c r="CJ30" s="38"/>
      <c r="CK30" s="14"/>
      <c r="CL30" s="357"/>
      <c r="CM30" s="357"/>
      <c r="CN30" s="315"/>
      <c r="CO30" s="315"/>
      <c r="CP30" s="315"/>
      <c r="CQ30" s="315"/>
      <c r="CR30" s="14"/>
      <c r="CS30" s="357"/>
      <c r="CT30" s="357"/>
      <c r="CY30" s="14"/>
    </row>
    <row r="31" spans="1:103">
      <c r="A31" s="435"/>
      <c r="AN31" s="136">
        <f t="shared" si="8"/>
        <v>611</v>
      </c>
      <c r="AO31" s="137">
        <v>29</v>
      </c>
      <c r="AP31" s="138"/>
      <c r="AQ31" s="38"/>
      <c r="AR31" s="38"/>
      <c r="AW31" s="354"/>
      <c r="AX31" s="354"/>
      <c r="AY31" s="353"/>
      <c r="AZ31" s="353"/>
      <c r="BA31" s="353"/>
      <c r="BB31" s="353"/>
      <c r="BC31" s="140"/>
      <c r="BJ31" s="356"/>
      <c r="BK31" s="356"/>
      <c r="BP31" s="14"/>
      <c r="BQ31" s="357"/>
      <c r="BR31" s="357"/>
      <c r="BW31" s="14"/>
      <c r="BX31" s="357"/>
      <c r="BY31" s="357"/>
      <c r="CB31" s="315"/>
      <c r="CC31" s="315"/>
      <c r="CD31" s="14"/>
      <c r="CE31" s="356"/>
      <c r="CF31" s="356"/>
      <c r="CG31" s="38"/>
      <c r="CH31" s="38"/>
      <c r="CI31" s="38"/>
      <c r="CJ31" s="38"/>
      <c r="CK31" s="14"/>
      <c r="CL31" s="357"/>
      <c r="CM31" s="357"/>
      <c r="CN31" s="315"/>
      <c r="CO31" s="315"/>
      <c r="CP31" s="315"/>
      <c r="CQ31" s="315"/>
      <c r="CR31" s="14"/>
      <c r="CS31" s="357"/>
      <c r="CT31" s="357"/>
      <c r="CY31" s="14"/>
    </row>
    <row r="32" spans="1:103" ht="13.8" thickBot="1">
      <c r="A32" s="524" t="s">
        <v>164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4"/>
      <c r="AX32" s="354"/>
      <c r="AY32" s="353"/>
      <c r="AZ32" s="353"/>
      <c r="BA32" s="353"/>
      <c r="BB32" s="353"/>
      <c r="BC32" s="140"/>
      <c r="BF32" s="142"/>
      <c r="BG32" s="347"/>
      <c r="BH32" s="143"/>
      <c r="BI32" s="144"/>
      <c r="BJ32" s="356"/>
      <c r="BK32" s="356"/>
      <c r="BL32" s="26"/>
      <c r="BM32" s="26"/>
      <c r="BN32" s="26"/>
      <c r="BO32" s="26"/>
      <c r="BP32" s="148"/>
      <c r="BQ32" s="357"/>
      <c r="BR32" s="357"/>
      <c r="BS32" s="24"/>
      <c r="BT32" s="24"/>
      <c r="BU32" s="24"/>
      <c r="BV32" s="24"/>
      <c r="BW32" s="148"/>
      <c r="BX32" s="357"/>
      <c r="BY32" s="357"/>
      <c r="BZ32" s="24"/>
      <c r="CA32" s="24"/>
      <c r="CB32" s="315"/>
      <c r="CC32" s="315"/>
      <c r="CD32" s="148"/>
      <c r="CE32" s="356"/>
      <c r="CF32" s="356"/>
      <c r="CG32" s="38"/>
      <c r="CH32" s="38"/>
      <c r="CI32" s="38"/>
      <c r="CJ32" s="38"/>
      <c r="CK32" s="148"/>
      <c r="CL32" s="357"/>
      <c r="CM32" s="357"/>
      <c r="CN32" s="315"/>
      <c r="CO32" s="315"/>
      <c r="CP32" s="315"/>
      <c r="CQ32" s="315"/>
      <c r="CR32" s="148"/>
      <c r="CS32" s="357"/>
      <c r="CT32" s="357"/>
      <c r="CU32" s="297"/>
      <c r="CV32" s="297"/>
      <c r="CW32" s="297"/>
      <c r="CX32" s="297"/>
      <c r="CY32" s="148"/>
    </row>
    <row r="33" spans="1:104" ht="13.8">
      <c r="A33" s="525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507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7" t="s">
        <v>201</v>
      </c>
      <c r="AN33" s="117"/>
      <c r="AO33" s="157"/>
      <c r="AP33" s="457" t="str">
        <f>$E$1</f>
        <v/>
      </c>
      <c r="AQ33" s="47" t="s">
        <v>5</v>
      </c>
      <c r="AR33" s="47" t="s">
        <v>4</v>
      </c>
      <c r="AS33" s="507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507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52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507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52" t="str">
        <f>$E$1</f>
        <v/>
      </c>
      <c r="BQ33" s="35" t="str">
        <f>BQ3</f>
        <v>Flux control ratio</v>
      </c>
      <c r="BR33" s="34" t="str">
        <f>BR3</f>
        <v>FCR, relative</v>
      </c>
      <c r="BS33" s="507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52" t="str">
        <f>$E$1</f>
        <v/>
      </c>
      <c r="BX33" s="34" t="str">
        <f>BX3</f>
        <v>Flux control factor</v>
      </c>
      <c r="BY33" s="34" t="str">
        <f>BY3</f>
        <v>FCF, relative</v>
      </c>
      <c r="BZ33" s="507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52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507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52" t="str">
        <f>$E$1</f>
        <v/>
      </c>
      <c r="CL33" s="49" t="str">
        <f>CL3</f>
        <v>FCR (mt: ROX-corr.)</v>
      </c>
      <c r="CM33" s="49" t="str">
        <f>CM3</f>
        <v>relative</v>
      </c>
      <c r="CN33" s="507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52" t="str">
        <f>$E$1</f>
        <v/>
      </c>
      <c r="CS33" s="49" t="str">
        <f>CS3</f>
        <v>FCF (mt: ROX-corr.)</v>
      </c>
      <c r="CT33" s="49" t="str">
        <f>CT3</f>
        <v>relative</v>
      </c>
      <c r="CU33" s="507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52" t="str">
        <f>$E$1</f>
        <v/>
      </c>
    </row>
    <row r="34" spans="1:104">
      <c r="A34" s="435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122</v>
      </c>
      <c r="AP34" s="452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8" t="e">
        <f t="array" ref="AY34">MEDIAN(IF(ISNUMBER(AY3:AY32),AY3:AY32))</f>
        <v>#NUM!</v>
      </c>
      <c r="AZ34" s="348" t="e">
        <f t="array" ref="AZ34">MEDIAN(IF(ISNUMBER(AZ3:AZ32),AZ3:AZ32))</f>
        <v>#NUM!</v>
      </c>
      <c r="BA34" s="348" t="e">
        <f t="array" ref="BA34">MEDIAN(IF(ISNUMBER(BA3:BA32),BA3:BA32))</f>
        <v>#NUM!</v>
      </c>
      <c r="BB34" s="348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6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52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52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52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52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52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52" t="str">
        <f>$E$1</f>
        <v/>
      </c>
    </row>
    <row r="35" spans="1:104">
      <c r="A35" s="435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82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5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83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5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5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6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8" thickBot="1">
      <c r="A40" s="464" t="s">
        <v>69</v>
      </c>
      <c r="B40" s="437" t="str">
        <f>$G$22</f>
        <v>DatLab 7 Template 16-07-19</v>
      </c>
      <c r="C40" s="438"/>
      <c r="D40" s="438"/>
      <c r="E40" s="438"/>
      <c r="F40" s="438"/>
      <c r="G40" s="438"/>
      <c r="H40" s="438"/>
      <c r="I40" s="438"/>
      <c r="J40" s="438"/>
      <c r="K40" s="438"/>
      <c r="L40" s="438"/>
      <c r="M40" s="438"/>
      <c r="N40" s="438"/>
      <c r="O40" s="438"/>
      <c r="P40" s="438"/>
      <c r="Q40" s="438"/>
      <c r="R40" s="438"/>
      <c r="S40" s="438"/>
      <c r="T40" s="438"/>
      <c r="U40" s="439"/>
      <c r="V40" s="439"/>
      <c r="W40" s="439"/>
      <c r="X40" s="439"/>
      <c r="Y40" s="439"/>
      <c r="Z40" s="440"/>
      <c r="AA40" s="441"/>
      <c r="AB40" s="441"/>
      <c r="AC40" s="441"/>
      <c r="AD40" s="441"/>
      <c r="AE40" s="441"/>
      <c r="AF40" s="441"/>
      <c r="AG40" s="441"/>
      <c r="AH40" s="442"/>
      <c r="AI40" s="441"/>
      <c r="AJ40" s="443"/>
      <c r="AK40" s="443"/>
      <c r="AL40" s="443"/>
      <c r="AM40" s="443"/>
      <c r="AN40" s="443"/>
      <c r="AO40" s="444"/>
      <c r="AP40" s="445"/>
      <c r="AQ40" s="446"/>
      <c r="AR40" s="446"/>
      <c r="AS40" s="447"/>
      <c r="AT40" s="447"/>
      <c r="AU40" s="447"/>
      <c r="AV40" s="447"/>
      <c r="AW40" s="448"/>
      <c r="AX40" s="448"/>
      <c r="AY40" s="438"/>
      <c r="AZ40" s="438"/>
      <c r="BA40" s="438"/>
      <c r="BB40" s="438"/>
      <c r="BC40" s="449"/>
      <c r="BD40" s="448"/>
      <c r="BE40" s="448"/>
      <c r="BF40" s="446"/>
      <c r="BG40" s="450"/>
      <c r="BH40" s="450"/>
      <c r="BI40" s="438"/>
      <c r="BJ40" s="448"/>
      <c r="BK40" s="448"/>
      <c r="BL40" s="447"/>
      <c r="BM40" s="447"/>
      <c r="BN40" s="447"/>
      <c r="BO40" s="447"/>
      <c r="BP40" s="438"/>
      <c r="BQ40" s="448"/>
      <c r="BR40" s="448"/>
      <c r="BS40" s="438"/>
      <c r="BT40" s="438"/>
      <c r="BU40" s="438"/>
      <c r="BV40" s="438"/>
      <c r="BW40" s="438"/>
      <c r="BX40" s="448"/>
      <c r="BY40" s="448"/>
      <c r="BZ40" s="438"/>
      <c r="CA40" s="438"/>
      <c r="CB40" s="438"/>
      <c r="CC40" s="438"/>
      <c r="CD40" s="451"/>
      <c r="CE40" s="448"/>
      <c r="CF40" s="448"/>
      <c r="CG40" s="447"/>
      <c r="CH40" s="447"/>
      <c r="CI40" s="447"/>
      <c r="CJ40" s="447"/>
      <c r="CK40" s="438"/>
      <c r="CL40" s="448"/>
      <c r="CM40" s="448"/>
      <c r="CN40" s="438"/>
      <c r="CO40" s="438"/>
      <c r="CP40" s="438"/>
      <c r="CQ40" s="438"/>
      <c r="CR40" s="438"/>
      <c r="CS40" s="448"/>
      <c r="CT40" s="448"/>
      <c r="CU40" s="438"/>
      <c r="CV40" s="438"/>
      <c r="CW40" s="438"/>
      <c r="CX40" s="438"/>
      <c r="CY40" s="449" t="s">
        <v>90</v>
      </c>
    </row>
    <row r="41" spans="1:104">
      <c r="A41" s="332" t="s">
        <v>100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9"/>
      <c r="AC41" s="110"/>
      <c r="AD41" s="110"/>
      <c r="AE41" s="110"/>
      <c r="AF41" s="110"/>
      <c r="AG41" s="110"/>
      <c r="AH41" s="110"/>
      <c r="AI41" s="180" t="s">
        <v>65</v>
      </c>
      <c r="AJ41" s="507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6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202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4.4" thickBot="1">
      <c r="A43" s="461" t="s">
        <v>85</v>
      </c>
      <c r="B43" s="280">
        <f>AB48</f>
        <v>0</v>
      </c>
      <c r="C43" s="281" t="s">
        <v>35</v>
      </c>
      <c r="D43" s="281" t="s">
        <v>175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7" t="s">
        <v>81</v>
      </c>
      <c r="AA43" s="133" t="s">
        <v>84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177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5" thickTop="1" thickBot="1">
      <c r="A44" s="184"/>
      <c r="B44" s="282">
        <f>AB46</f>
        <v>0</v>
      </c>
      <c r="C44" s="283" t="s">
        <v>7</v>
      </c>
      <c r="D44" s="283" t="s">
        <v>176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173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8" thickBot="1">
      <c r="A45" s="83" t="s">
        <v>70</v>
      </c>
      <c r="B45" s="415"/>
      <c r="C45" s="134"/>
      <c r="D45" s="307"/>
      <c r="E45" s="307"/>
      <c r="F45" s="474" t="s">
        <v>162</v>
      </c>
      <c r="G45" s="47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507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 ht="13.8">
      <c r="A46" s="9" t="s">
        <v>71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8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116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182</v>
      </c>
      <c r="AR48" s="68" t="s">
        <v>183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8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8"/>
      <c r="AQ50" s="113" t="s">
        <v>14</v>
      </c>
      <c r="AR50" s="113" t="s">
        <v>13</v>
      </c>
      <c r="AS50" s="507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507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116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507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507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507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507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507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507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9" t="str">
        <f>E42</f>
        <v/>
      </c>
      <c r="AQ51" s="510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511" t="str">
        <f>AH2</f>
        <v>O2 flow per cells</v>
      </c>
      <c r="BK51" s="511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511" t="str">
        <f>AH3</f>
        <v>O2 flow per cells (mt: ROX-corr.)</v>
      </c>
      <c r="CF51" s="511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174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8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8" thickBot="1">
      <c r="A60" s="464" t="s">
        <v>69</v>
      </c>
      <c r="B60" s="198" t="str">
        <f>$G$22</f>
        <v>DatLab 7 Template 16-07-19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16-07-19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16-07-19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16-07-19</v>
      </c>
      <c r="BK60" s="161"/>
      <c r="BL60" s="203"/>
      <c r="BM60" s="203"/>
      <c r="BN60" s="203"/>
      <c r="BO60" s="203"/>
      <c r="BP60" s="209"/>
      <c r="BQ60" s="79" t="str">
        <f>$B60</f>
        <v>DatLab 7 Template 16-07-19</v>
      </c>
      <c r="BR60" s="202"/>
      <c r="BS60" s="199"/>
      <c r="BT60" s="199"/>
      <c r="BU60" s="199"/>
      <c r="BV60" s="204"/>
      <c r="BW60" s="209"/>
      <c r="BX60" s="79" t="str">
        <f>$B60</f>
        <v>DatLab 7 Template 16-07-19</v>
      </c>
      <c r="BY60" s="161"/>
      <c r="BZ60" s="204"/>
      <c r="CA60" s="204"/>
      <c r="CB60" s="204"/>
      <c r="CC60" s="204"/>
      <c r="CD60" s="210"/>
      <c r="CE60" s="79" t="str">
        <f>$B60</f>
        <v>DatLab 7 Template 16-07-19</v>
      </c>
      <c r="CF60" s="161"/>
      <c r="CG60" s="203"/>
      <c r="CH60" s="203"/>
      <c r="CI60" s="203"/>
      <c r="CJ60" s="203"/>
      <c r="CK60" s="209"/>
      <c r="CL60" s="79" t="str">
        <f>$B60</f>
        <v>DatLab 7 Template 16-07-19</v>
      </c>
      <c r="CM60" s="161"/>
      <c r="CN60" s="204"/>
      <c r="CO60" s="204"/>
      <c r="CP60" s="204"/>
      <c r="CQ60" s="204"/>
      <c r="CR60" s="209"/>
      <c r="CS60" s="79" t="str">
        <f>$B60</f>
        <v>DatLab 7 Template 16-07-19</v>
      </c>
      <c r="CT60" s="161"/>
      <c r="CU60" s="204"/>
      <c r="CV60" s="204"/>
      <c r="CW60" s="204"/>
      <c r="CX60" s="204"/>
      <c r="CY60" s="209"/>
    </row>
    <row r="61" spans="1:104">
      <c r="A61" s="332" t="s">
        <v>101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9"/>
      <c r="AC61" s="110"/>
      <c r="AD61" s="110"/>
      <c r="AE61" s="110"/>
      <c r="AF61" s="110"/>
      <c r="AG61" s="110"/>
      <c r="AH61" s="110"/>
      <c r="AI61" s="180" t="s">
        <v>65</v>
      </c>
      <c r="AJ61" s="507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6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202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4.4" thickBot="1">
      <c r="A63" s="461" t="s">
        <v>86</v>
      </c>
      <c r="B63" s="280">
        <f>AB68</f>
        <v>0</v>
      </c>
      <c r="C63" s="281" t="s">
        <v>35</v>
      </c>
      <c r="D63" s="281" t="s">
        <v>175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7" t="s">
        <v>81</v>
      </c>
      <c r="AA63" s="133" t="s">
        <v>84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177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5" thickTop="1" thickBot="1">
      <c r="A64" s="184"/>
      <c r="B64" s="282">
        <f>AB66</f>
        <v>0</v>
      </c>
      <c r="C64" s="283" t="s">
        <v>7</v>
      </c>
      <c r="D64" s="283" t="s">
        <v>176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173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8" thickBot="1">
      <c r="A65" s="83" t="s">
        <v>70</v>
      </c>
      <c r="B65" s="63"/>
      <c r="C65" s="134"/>
      <c r="D65" s="41"/>
      <c r="E65" s="41"/>
      <c r="F65" s="474" t="s">
        <v>162</v>
      </c>
      <c r="G65" s="47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507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 ht="13.8">
      <c r="A66" s="9" t="s">
        <v>71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8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116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182</v>
      </c>
      <c r="AR68" s="68" t="s">
        <v>183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8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8"/>
      <c r="AQ70" s="113" t="s">
        <v>14</v>
      </c>
      <c r="AR70" s="113" t="s">
        <v>13</v>
      </c>
      <c r="AS70" s="507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507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116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507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507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507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507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507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507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9" t="str">
        <f>E62</f>
        <v/>
      </c>
      <c r="AQ71" s="510" t="s">
        <v>5</v>
      </c>
      <c r="AR71" s="510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511" t="str">
        <f>AH2</f>
        <v>O2 flow per cells</v>
      </c>
      <c r="BK71" s="511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511" t="str">
        <f>AH3</f>
        <v>O2 flow per cells (mt: ROX-corr.)</v>
      </c>
      <c r="CF71" s="511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174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8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8" thickBot="1">
      <c r="A80" s="464" t="s">
        <v>69</v>
      </c>
      <c r="B80" s="198" t="str">
        <f>$G$22</f>
        <v>DatLab 7 Template 16-07-19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16-07-19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16-07-19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16-07-19</v>
      </c>
      <c r="BK80" s="161"/>
      <c r="BL80" s="203"/>
      <c r="BM80" s="203"/>
      <c r="BN80" s="203"/>
      <c r="BO80" s="203"/>
      <c r="BP80" s="209"/>
      <c r="BQ80" s="79" t="str">
        <f>$B80</f>
        <v>DatLab 7 Template 16-07-19</v>
      </c>
      <c r="BR80" s="200"/>
      <c r="BS80" s="200"/>
      <c r="BT80" s="200"/>
      <c r="BU80" s="200"/>
      <c r="BV80" s="204"/>
      <c r="BW80" s="209"/>
      <c r="BX80" s="79" t="str">
        <f>$B80</f>
        <v>DatLab 7 Template 16-07-19</v>
      </c>
      <c r="BY80" s="161"/>
      <c r="BZ80" s="204"/>
      <c r="CA80" s="204"/>
      <c r="CB80" s="204"/>
      <c r="CC80" s="204"/>
      <c r="CD80" s="210"/>
      <c r="CE80" s="79" t="str">
        <f>$B80</f>
        <v>DatLab 7 Template 16-07-19</v>
      </c>
      <c r="CF80" s="161"/>
      <c r="CG80" s="203"/>
      <c r="CH80" s="203"/>
      <c r="CI80" s="203"/>
      <c r="CJ80" s="203"/>
      <c r="CK80" s="209"/>
      <c r="CL80" s="79" t="str">
        <f>$B80</f>
        <v>DatLab 7 Template 16-07-19</v>
      </c>
      <c r="CM80" s="161"/>
      <c r="CN80" s="204"/>
      <c r="CO80" s="204"/>
      <c r="CP80" s="204"/>
      <c r="CQ80" s="204"/>
      <c r="CR80" s="209"/>
      <c r="CS80" s="79" t="str">
        <f>$B80</f>
        <v>DatLab 7 Template 16-07-19</v>
      </c>
      <c r="CT80" s="161"/>
      <c r="CU80" s="204"/>
      <c r="CV80" s="204"/>
      <c r="CW80" s="204"/>
      <c r="CX80" s="204"/>
      <c r="CY80" s="209"/>
    </row>
    <row r="81" spans="1:104">
      <c r="A81" s="332" t="s">
        <v>102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9"/>
      <c r="AC81" s="110"/>
      <c r="AD81" s="110"/>
      <c r="AE81" s="110"/>
      <c r="AF81" s="110"/>
      <c r="AG81" s="110"/>
      <c r="AH81" s="110"/>
      <c r="AI81" s="180" t="s">
        <v>65</v>
      </c>
      <c r="AJ81" s="507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6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202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4.4" thickBot="1">
      <c r="A83" s="461" t="s">
        <v>85</v>
      </c>
      <c r="B83" s="280">
        <f>AB88</f>
        <v>0</v>
      </c>
      <c r="C83" s="281" t="s">
        <v>35</v>
      </c>
      <c r="D83" s="281" t="s">
        <v>175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7" t="s">
        <v>81</v>
      </c>
      <c r="AA83" s="133" t="s">
        <v>84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177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5" thickTop="1" thickBot="1">
      <c r="A84" s="184"/>
      <c r="B84" s="282">
        <f>AB86</f>
        <v>0</v>
      </c>
      <c r="C84" s="283" t="s">
        <v>7</v>
      </c>
      <c r="D84" s="283" t="s">
        <v>176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173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8" thickBot="1">
      <c r="A85" s="83" t="s">
        <v>70</v>
      </c>
      <c r="B85" s="63"/>
      <c r="C85" s="134"/>
      <c r="D85" s="41"/>
      <c r="E85" s="41"/>
      <c r="F85" s="474" t="s">
        <v>162</v>
      </c>
      <c r="G85" s="47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507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 ht="13.8">
      <c r="A86" s="9" t="s">
        <v>71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8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116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182</v>
      </c>
      <c r="AR88" s="68" t="s">
        <v>183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8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8"/>
      <c r="AQ90" s="113" t="s">
        <v>14</v>
      </c>
      <c r="AR90" s="113" t="s">
        <v>13</v>
      </c>
      <c r="AS90" s="507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507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116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507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507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507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507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507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507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9" t="str">
        <f>E82</f>
        <v/>
      </c>
      <c r="AQ91" s="510" t="s">
        <v>5</v>
      </c>
      <c r="AR91" s="510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511" t="str">
        <f>AH2</f>
        <v>O2 flow per cells</v>
      </c>
      <c r="BK91" s="511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511" t="str">
        <f>AH3</f>
        <v>O2 flow per cells (mt: ROX-corr.)</v>
      </c>
      <c r="CF91" s="511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174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8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8" thickBot="1">
      <c r="A100" s="464" t="s">
        <v>69</v>
      </c>
      <c r="B100" s="198" t="str">
        <f>$G$22</f>
        <v>DatLab 7 Template 16-07-19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16-07-19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16-07-19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16-07-19</v>
      </c>
      <c r="BK100" s="161"/>
      <c r="BL100" s="203"/>
      <c r="BM100" s="203"/>
      <c r="BN100" s="203"/>
      <c r="BO100" s="203"/>
      <c r="BP100" s="209"/>
      <c r="BQ100" s="79" t="str">
        <f>$B100</f>
        <v>DatLab 7 Template 16-07-19</v>
      </c>
      <c r="BR100" s="202"/>
      <c r="BS100" s="199"/>
      <c r="BT100" s="199"/>
      <c r="BU100" s="199"/>
      <c r="BV100" s="204"/>
      <c r="BW100" s="209"/>
      <c r="BX100" s="79" t="str">
        <f>$B100</f>
        <v>DatLab 7 Template 16-07-19</v>
      </c>
      <c r="BY100" s="161"/>
      <c r="BZ100" s="204"/>
      <c r="CA100" s="204"/>
      <c r="CB100" s="204"/>
      <c r="CC100" s="204"/>
      <c r="CD100" s="210"/>
      <c r="CE100" s="79" t="str">
        <f>$B100</f>
        <v>DatLab 7 Template 16-07-19</v>
      </c>
      <c r="CF100" s="161"/>
      <c r="CG100" s="203"/>
      <c r="CH100" s="203"/>
      <c r="CI100" s="203"/>
      <c r="CJ100" s="203"/>
      <c r="CK100" s="209"/>
      <c r="CL100" s="79" t="str">
        <f>$B100</f>
        <v>DatLab 7 Template 16-07-19</v>
      </c>
      <c r="CM100" s="161"/>
      <c r="CN100" s="204"/>
      <c r="CO100" s="204"/>
      <c r="CP100" s="204"/>
      <c r="CQ100" s="204"/>
      <c r="CR100" s="209"/>
      <c r="CS100" s="79" t="str">
        <f>$B100</f>
        <v>DatLab 7 Template 16-07-19</v>
      </c>
      <c r="CT100" s="161"/>
      <c r="CU100" s="204"/>
      <c r="CV100" s="204"/>
      <c r="CW100" s="204"/>
      <c r="CX100" s="204"/>
      <c r="CY100" s="209"/>
    </row>
    <row r="101" spans="1:104">
      <c r="A101" s="332" t="s">
        <v>103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9"/>
      <c r="AC101" s="110"/>
      <c r="AD101" s="110"/>
      <c r="AE101" s="110"/>
      <c r="AF101" s="110"/>
      <c r="AG101" s="110"/>
      <c r="AH101" s="110"/>
      <c r="AI101" s="180" t="s">
        <v>65</v>
      </c>
      <c r="AJ101" s="507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6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202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4.4" thickBot="1">
      <c r="A103" s="461" t="s">
        <v>85</v>
      </c>
      <c r="B103" s="280">
        <f>AB108</f>
        <v>0</v>
      </c>
      <c r="C103" s="281" t="s">
        <v>35</v>
      </c>
      <c r="D103" s="281" t="s">
        <v>175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7" t="s">
        <v>81</v>
      </c>
      <c r="AA103" s="133" t="s">
        <v>84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177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5" thickTop="1" thickBot="1">
      <c r="A104" s="184"/>
      <c r="B104" s="282">
        <f>AB106</f>
        <v>0</v>
      </c>
      <c r="C104" s="283" t="s">
        <v>7</v>
      </c>
      <c r="D104" s="283" t="s">
        <v>176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173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8" thickBot="1">
      <c r="A105" s="83" t="s">
        <v>70</v>
      </c>
      <c r="B105" s="63"/>
      <c r="C105" s="134"/>
      <c r="D105" s="41"/>
      <c r="E105" s="41"/>
      <c r="F105" s="474" t="s">
        <v>162</v>
      </c>
      <c r="G105" s="47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507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 ht="13.8">
      <c r="A106" s="9" t="s">
        <v>71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8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116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182</v>
      </c>
      <c r="AR108" s="68" t="s">
        <v>183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8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8"/>
      <c r="AQ110" s="113" t="s">
        <v>14</v>
      </c>
      <c r="AR110" s="113" t="s">
        <v>13</v>
      </c>
      <c r="AS110" s="507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507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116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507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507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507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507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507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507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9" t="str">
        <f>E102</f>
        <v/>
      </c>
      <c r="AQ111" s="510" t="s">
        <v>5</v>
      </c>
      <c r="AR111" s="510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511" t="str">
        <f>AH2</f>
        <v>O2 flow per cells</v>
      </c>
      <c r="BK111" s="511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511" t="str">
        <f>AH3</f>
        <v>O2 flow per cells (mt: ROX-corr.)</v>
      </c>
      <c r="CF111" s="511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174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8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8" thickBot="1">
      <c r="A120" s="464" t="s">
        <v>69</v>
      </c>
      <c r="B120" s="198" t="str">
        <f>$G$22</f>
        <v>DatLab 7 Template 16-07-19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16-07-19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16-07-19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16-07-19</v>
      </c>
      <c r="BK120" s="161"/>
      <c r="BL120" s="203"/>
      <c r="BM120" s="203"/>
      <c r="BN120" s="203"/>
      <c r="BO120" s="203"/>
      <c r="BP120" s="209"/>
      <c r="BQ120" s="79" t="str">
        <f>$B120</f>
        <v>DatLab 7 Template 16-07-19</v>
      </c>
      <c r="BR120" s="200"/>
      <c r="BS120" s="200"/>
      <c r="BT120" s="200"/>
      <c r="BU120" s="200"/>
      <c r="BV120" s="204"/>
      <c r="BW120" s="209"/>
      <c r="BX120" s="79" t="str">
        <f>$B120</f>
        <v>DatLab 7 Template 16-07-19</v>
      </c>
      <c r="BY120" s="161"/>
      <c r="BZ120" s="204"/>
      <c r="CA120" s="204"/>
      <c r="CB120" s="204"/>
      <c r="CC120" s="204"/>
      <c r="CD120" s="210"/>
      <c r="CE120" s="79" t="str">
        <f>$B120</f>
        <v>DatLab 7 Template 16-07-19</v>
      </c>
      <c r="CF120" s="161"/>
      <c r="CG120" s="203"/>
      <c r="CH120" s="203"/>
      <c r="CI120" s="203"/>
      <c r="CJ120" s="203"/>
      <c r="CK120" s="209"/>
      <c r="CL120" s="79" t="str">
        <f>$B120</f>
        <v>DatLab 7 Template 16-07-19</v>
      </c>
      <c r="CM120" s="161"/>
      <c r="CN120" s="204"/>
      <c r="CO120" s="204"/>
      <c r="CP120" s="204"/>
      <c r="CQ120" s="204"/>
      <c r="CR120" s="209"/>
      <c r="CS120" s="79" t="str">
        <f>$B120</f>
        <v>DatLab 7 Template 16-07-19</v>
      </c>
      <c r="CT120" s="161"/>
      <c r="CU120" s="204"/>
      <c r="CV120" s="204"/>
      <c r="CW120" s="204"/>
      <c r="CX120" s="204"/>
      <c r="CY120" s="209"/>
    </row>
    <row r="121" spans="1:104">
      <c r="A121" s="332" t="s">
        <v>104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9"/>
      <c r="AC121" s="110"/>
      <c r="AD121" s="110"/>
      <c r="AE121" s="110"/>
      <c r="AF121" s="110"/>
      <c r="AG121" s="110"/>
      <c r="AH121" s="110"/>
      <c r="AI121" s="180" t="s">
        <v>65</v>
      </c>
      <c r="AJ121" s="507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6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202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4.4" thickBot="1">
      <c r="A123" s="461" t="s">
        <v>85</v>
      </c>
      <c r="B123" s="280">
        <f>AB128</f>
        <v>0</v>
      </c>
      <c r="C123" s="281" t="s">
        <v>35</v>
      </c>
      <c r="D123" s="281" t="s">
        <v>175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7" t="s">
        <v>81</v>
      </c>
      <c r="AA123" s="133" t="s">
        <v>84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177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5" thickTop="1" thickBot="1">
      <c r="A124" s="184"/>
      <c r="B124" s="282">
        <f>AB126</f>
        <v>0</v>
      </c>
      <c r="C124" s="283" t="s">
        <v>7</v>
      </c>
      <c r="D124" s="283" t="s">
        <v>176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173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8" thickBot="1">
      <c r="A125" s="83" t="s">
        <v>70</v>
      </c>
      <c r="B125" s="63"/>
      <c r="C125" s="134"/>
      <c r="D125" s="41"/>
      <c r="E125" s="41"/>
      <c r="F125" s="474" t="s">
        <v>162</v>
      </c>
      <c r="G125" s="47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507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 ht="13.8">
      <c r="A126" s="9" t="s">
        <v>71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8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116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182</v>
      </c>
      <c r="AR128" s="68" t="s">
        <v>183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8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8"/>
      <c r="AQ130" s="113" t="s">
        <v>14</v>
      </c>
      <c r="AR130" s="113" t="s">
        <v>13</v>
      </c>
      <c r="AS130" s="507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507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116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507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507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507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507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507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507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9" t="str">
        <f>E122</f>
        <v/>
      </c>
      <c r="AQ131" s="510" t="s">
        <v>5</v>
      </c>
      <c r="AR131" s="510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511" t="str">
        <f>AH2</f>
        <v>O2 flow per cells</v>
      </c>
      <c r="BK131" s="511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511" t="str">
        <f>AH3</f>
        <v>O2 flow per cells (mt: ROX-corr.)</v>
      </c>
      <c r="CF131" s="511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174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8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8" thickBot="1">
      <c r="A140" s="464" t="s">
        <v>69</v>
      </c>
      <c r="B140" s="198" t="str">
        <f>$G$22</f>
        <v>DatLab 7 Template 16-07-19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16-07-19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16-07-19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16-07-19</v>
      </c>
      <c r="BK140" s="161"/>
      <c r="BL140" s="203"/>
      <c r="BM140" s="203"/>
      <c r="BN140" s="203"/>
      <c r="BO140" s="203"/>
      <c r="BP140" s="209"/>
      <c r="BQ140" s="79" t="str">
        <f>$B140</f>
        <v>DatLab 7 Template 16-07-19</v>
      </c>
      <c r="BR140" s="202"/>
      <c r="BS140" s="199"/>
      <c r="BT140" s="199"/>
      <c r="BU140" s="199"/>
      <c r="BV140" s="204"/>
      <c r="BW140" s="209"/>
      <c r="BX140" s="79" t="str">
        <f>$B140</f>
        <v>DatLab 7 Template 16-07-19</v>
      </c>
      <c r="BY140" s="161"/>
      <c r="BZ140" s="204"/>
      <c r="CA140" s="204"/>
      <c r="CB140" s="204"/>
      <c r="CC140" s="204"/>
      <c r="CD140" s="210"/>
      <c r="CE140" s="79" t="str">
        <f>$B140</f>
        <v>DatLab 7 Template 16-07-19</v>
      </c>
      <c r="CF140" s="161"/>
      <c r="CG140" s="203"/>
      <c r="CH140" s="203"/>
      <c r="CI140" s="203"/>
      <c r="CJ140" s="203"/>
      <c r="CK140" s="209"/>
      <c r="CL140" s="79" t="str">
        <f>$B140</f>
        <v>DatLab 7 Template 16-07-19</v>
      </c>
      <c r="CM140" s="161"/>
      <c r="CN140" s="204"/>
      <c r="CO140" s="204"/>
      <c r="CP140" s="204"/>
      <c r="CQ140" s="204"/>
      <c r="CR140" s="209"/>
      <c r="CS140" s="79" t="str">
        <f>$B140</f>
        <v>DatLab 7 Template 16-07-19</v>
      </c>
      <c r="CT140" s="161"/>
      <c r="CU140" s="204"/>
      <c r="CV140" s="204"/>
      <c r="CW140" s="204"/>
      <c r="CX140" s="204"/>
      <c r="CY140" s="209"/>
    </row>
    <row r="141" spans="1:104">
      <c r="A141" s="332" t="s">
        <v>105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9"/>
      <c r="AC141" s="110"/>
      <c r="AD141" s="110"/>
      <c r="AE141" s="110"/>
      <c r="AF141" s="110"/>
      <c r="AG141" s="110"/>
      <c r="AH141" s="110"/>
      <c r="AI141" s="180" t="s">
        <v>65</v>
      </c>
      <c r="AJ141" s="507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6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202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4.4" thickBot="1">
      <c r="A143" s="461" t="s">
        <v>85</v>
      </c>
      <c r="B143" s="280">
        <f>AB148</f>
        <v>0</v>
      </c>
      <c r="C143" s="281" t="s">
        <v>35</v>
      </c>
      <c r="D143" s="281" t="s">
        <v>175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7" t="s">
        <v>81</v>
      </c>
      <c r="AA143" s="133" t="s">
        <v>84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177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5" thickTop="1" thickBot="1">
      <c r="A144" s="184"/>
      <c r="B144" s="282">
        <f>AB146</f>
        <v>0</v>
      </c>
      <c r="C144" s="283" t="s">
        <v>7</v>
      </c>
      <c r="D144" s="283" t="s">
        <v>176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173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8" thickBot="1">
      <c r="A145" s="83" t="s">
        <v>70</v>
      </c>
      <c r="B145" s="63"/>
      <c r="C145" s="134"/>
      <c r="D145" s="41"/>
      <c r="E145" s="41"/>
      <c r="F145" s="474" t="s">
        <v>162</v>
      </c>
      <c r="G145" s="47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507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 ht="13.8">
      <c r="A146" s="9" t="s">
        <v>71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8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116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182</v>
      </c>
      <c r="AR148" s="68" t="s">
        <v>183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8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8"/>
      <c r="AQ150" s="113" t="s">
        <v>14</v>
      </c>
      <c r="AR150" s="113" t="s">
        <v>13</v>
      </c>
      <c r="AS150" s="507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507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116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507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507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507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507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507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507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9" t="str">
        <f>E142</f>
        <v/>
      </c>
      <c r="AQ151" s="510" t="s">
        <v>5</v>
      </c>
      <c r="AR151" s="510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511" t="str">
        <f>AH2</f>
        <v>O2 flow per cells</v>
      </c>
      <c r="BK151" s="511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511" t="str">
        <f>AH3</f>
        <v>O2 flow per cells (mt: ROX-corr.)</v>
      </c>
      <c r="CF151" s="511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174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8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8" thickBot="1">
      <c r="A160" s="464" t="s">
        <v>69</v>
      </c>
      <c r="B160" s="198" t="str">
        <f>$G$22</f>
        <v>DatLab 7 Template 16-07-19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16-07-19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16-07-19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16-07-19</v>
      </c>
      <c r="BK160" s="161"/>
      <c r="BL160" s="203"/>
      <c r="BM160" s="203"/>
      <c r="BN160" s="203"/>
      <c r="BO160" s="203"/>
      <c r="BP160" s="209"/>
      <c r="BQ160" s="79" t="str">
        <f>$B160</f>
        <v>DatLab 7 Template 16-07-19</v>
      </c>
      <c r="BR160" s="200"/>
      <c r="BS160" s="200"/>
      <c r="BT160" s="200"/>
      <c r="BU160" s="200"/>
      <c r="BV160" s="204"/>
      <c r="BW160" s="209"/>
      <c r="BX160" s="79" t="str">
        <f>$B160</f>
        <v>DatLab 7 Template 16-07-19</v>
      </c>
      <c r="BY160" s="161"/>
      <c r="BZ160" s="204"/>
      <c r="CA160" s="204"/>
      <c r="CB160" s="204"/>
      <c r="CC160" s="204"/>
      <c r="CD160" s="210"/>
      <c r="CE160" s="79" t="str">
        <f>$B160</f>
        <v>DatLab 7 Template 16-07-19</v>
      </c>
      <c r="CF160" s="161"/>
      <c r="CG160" s="203"/>
      <c r="CH160" s="203"/>
      <c r="CI160" s="203"/>
      <c r="CJ160" s="203"/>
      <c r="CK160" s="209"/>
      <c r="CL160" s="79" t="str">
        <f>$B160</f>
        <v>DatLab 7 Template 16-07-19</v>
      </c>
      <c r="CM160" s="161"/>
      <c r="CN160" s="204"/>
      <c r="CO160" s="204"/>
      <c r="CP160" s="204"/>
      <c r="CQ160" s="204"/>
      <c r="CR160" s="209"/>
      <c r="CS160" s="79" t="str">
        <f>$B160</f>
        <v>DatLab 7 Template 16-07-19</v>
      </c>
      <c r="CT160" s="161"/>
      <c r="CU160" s="204"/>
      <c r="CV160" s="204"/>
      <c r="CW160" s="204"/>
      <c r="CX160" s="204"/>
      <c r="CY160" s="209"/>
    </row>
    <row r="161" spans="1:104">
      <c r="A161" s="332" t="s">
        <v>106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9"/>
      <c r="AC161" s="110"/>
      <c r="AD161" s="110"/>
      <c r="AE161" s="110"/>
      <c r="AF161" s="110"/>
      <c r="AG161" s="110"/>
      <c r="AH161" s="110"/>
      <c r="AI161" s="180" t="s">
        <v>65</v>
      </c>
      <c r="AJ161" s="507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6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202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4.4" thickBot="1">
      <c r="A163" s="461" t="s">
        <v>85</v>
      </c>
      <c r="B163" s="280">
        <f>AB168</f>
        <v>0</v>
      </c>
      <c r="C163" s="281" t="s">
        <v>35</v>
      </c>
      <c r="D163" s="281" t="s">
        <v>175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7" t="s">
        <v>81</v>
      </c>
      <c r="AA163" s="133" t="s">
        <v>84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177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5" thickTop="1" thickBot="1">
      <c r="A164" s="184"/>
      <c r="B164" s="282">
        <f>AB166</f>
        <v>0</v>
      </c>
      <c r="C164" s="283" t="s">
        <v>7</v>
      </c>
      <c r="D164" s="283" t="s">
        <v>176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173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8" thickBot="1">
      <c r="A165" s="83" t="s">
        <v>70</v>
      </c>
      <c r="B165" s="63"/>
      <c r="C165" s="134"/>
      <c r="D165" s="41"/>
      <c r="E165" s="41"/>
      <c r="F165" s="474" t="s">
        <v>162</v>
      </c>
      <c r="G165" s="47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507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 ht="13.8">
      <c r="A166" s="9" t="s">
        <v>71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8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116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182</v>
      </c>
      <c r="AR168" s="68" t="s">
        <v>183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8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8"/>
      <c r="AQ170" s="113" t="s">
        <v>14</v>
      </c>
      <c r="AR170" s="113" t="s">
        <v>13</v>
      </c>
      <c r="AS170" s="507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507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116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507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507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507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507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507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507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9" t="str">
        <f>E162</f>
        <v/>
      </c>
      <c r="AQ171" s="510" t="s">
        <v>5</v>
      </c>
      <c r="AR171" s="510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511" t="str">
        <f>AH2</f>
        <v>O2 flow per cells</v>
      </c>
      <c r="BK171" s="511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511" t="str">
        <f>AH3</f>
        <v>O2 flow per cells (mt: ROX-corr.)</v>
      </c>
      <c r="CF171" s="511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174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8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8" thickBot="1">
      <c r="A180" s="464" t="s">
        <v>69</v>
      </c>
      <c r="B180" s="198" t="str">
        <f>$G$22</f>
        <v>DatLab 7 Template 16-07-19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16-07-19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16-07-19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16-07-19</v>
      </c>
      <c r="BK180" s="161"/>
      <c r="BL180" s="203"/>
      <c r="BM180" s="203"/>
      <c r="BN180" s="203"/>
      <c r="BO180" s="203"/>
      <c r="BP180" s="209"/>
      <c r="BQ180" s="79" t="str">
        <f>$B180</f>
        <v>DatLab 7 Template 16-07-19</v>
      </c>
      <c r="BR180" s="202"/>
      <c r="BS180" s="199"/>
      <c r="BT180" s="199"/>
      <c r="BU180" s="199"/>
      <c r="BV180" s="204"/>
      <c r="BW180" s="209"/>
      <c r="BX180" s="79" t="str">
        <f>$B180</f>
        <v>DatLab 7 Template 16-07-19</v>
      </c>
      <c r="BY180" s="161"/>
      <c r="BZ180" s="204"/>
      <c r="CA180" s="204"/>
      <c r="CB180" s="204"/>
      <c r="CC180" s="204"/>
      <c r="CD180" s="210"/>
      <c r="CE180" s="79" t="str">
        <f>$B180</f>
        <v>DatLab 7 Template 16-07-19</v>
      </c>
      <c r="CF180" s="161"/>
      <c r="CG180" s="203"/>
      <c r="CH180" s="203"/>
      <c r="CI180" s="203"/>
      <c r="CJ180" s="203"/>
      <c r="CK180" s="209"/>
      <c r="CL180" s="79" t="str">
        <f>$B180</f>
        <v>DatLab 7 Template 16-07-19</v>
      </c>
      <c r="CM180" s="161"/>
      <c r="CN180" s="204"/>
      <c r="CO180" s="204"/>
      <c r="CP180" s="204"/>
      <c r="CQ180" s="204"/>
      <c r="CR180" s="209"/>
      <c r="CS180" s="79" t="str">
        <f>$B180</f>
        <v>DatLab 7 Template 16-07-19</v>
      </c>
      <c r="CT180" s="161"/>
      <c r="CU180" s="204"/>
      <c r="CV180" s="204"/>
      <c r="CW180" s="204"/>
      <c r="CX180" s="204"/>
      <c r="CY180" s="209"/>
    </row>
    <row r="181" spans="1:104">
      <c r="A181" s="332" t="s">
        <v>107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9"/>
      <c r="AC181" s="110"/>
      <c r="AD181" s="110"/>
      <c r="AE181" s="110"/>
      <c r="AF181" s="110"/>
      <c r="AG181" s="110"/>
      <c r="AH181" s="110"/>
      <c r="AI181" s="180" t="s">
        <v>65</v>
      </c>
      <c r="AJ181" s="507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6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202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4.4" thickBot="1">
      <c r="A183" s="461" t="s">
        <v>85</v>
      </c>
      <c r="B183" s="280">
        <f>AB188</f>
        <v>0</v>
      </c>
      <c r="C183" s="281" t="s">
        <v>35</v>
      </c>
      <c r="D183" s="281" t="s">
        <v>175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7" t="s">
        <v>81</v>
      </c>
      <c r="AA183" s="133" t="s">
        <v>84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177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5" thickTop="1" thickBot="1">
      <c r="A184" s="184"/>
      <c r="B184" s="282">
        <f>AB186</f>
        <v>0</v>
      </c>
      <c r="C184" s="283" t="s">
        <v>7</v>
      </c>
      <c r="D184" s="283" t="s">
        <v>176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173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8" thickBot="1">
      <c r="A185" s="83" t="s">
        <v>70</v>
      </c>
      <c r="B185" s="63"/>
      <c r="C185" s="134"/>
      <c r="D185" s="41"/>
      <c r="E185" s="41"/>
      <c r="F185" s="474" t="s">
        <v>162</v>
      </c>
      <c r="G185" s="47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507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 ht="13.8">
      <c r="A186" s="9" t="s">
        <v>71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8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116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182</v>
      </c>
      <c r="AR188" s="68" t="s">
        <v>183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8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8"/>
      <c r="AQ190" s="113" t="s">
        <v>14</v>
      </c>
      <c r="AR190" s="113" t="s">
        <v>13</v>
      </c>
      <c r="AS190" s="507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507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116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507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507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507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507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507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507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9" t="str">
        <f>E182</f>
        <v/>
      </c>
      <c r="AQ191" s="510" t="s">
        <v>5</v>
      </c>
      <c r="AR191" s="510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511" t="str">
        <f>AH2</f>
        <v>O2 flow per cells</v>
      </c>
      <c r="BK191" s="511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511" t="str">
        <f>AH3</f>
        <v>O2 flow per cells (mt: ROX-corr.)</v>
      </c>
      <c r="CF191" s="511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174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8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8" thickBot="1">
      <c r="A200" s="464" t="s">
        <v>69</v>
      </c>
      <c r="B200" s="198" t="str">
        <f>$G$22</f>
        <v>DatLab 7 Template 16-07-19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16-07-19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16-07-19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16-07-19</v>
      </c>
      <c r="BK200" s="161"/>
      <c r="BL200" s="203"/>
      <c r="BM200" s="203"/>
      <c r="BN200" s="203"/>
      <c r="BO200" s="203"/>
      <c r="BP200" s="209"/>
      <c r="BQ200" s="79" t="str">
        <f>$B200</f>
        <v>DatLab 7 Template 16-07-19</v>
      </c>
      <c r="BR200" s="200"/>
      <c r="BS200" s="200"/>
      <c r="BT200" s="200"/>
      <c r="BU200" s="200"/>
      <c r="BV200" s="204"/>
      <c r="BW200" s="209"/>
      <c r="BX200" s="79" t="str">
        <f>$B200</f>
        <v>DatLab 7 Template 16-07-19</v>
      </c>
      <c r="BY200" s="161"/>
      <c r="BZ200" s="204"/>
      <c r="CA200" s="204"/>
      <c r="CB200" s="204"/>
      <c r="CC200" s="204"/>
      <c r="CD200" s="210"/>
      <c r="CE200" s="79" t="str">
        <f>$B200</f>
        <v>DatLab 7 Template 16-07-19</v>
      </c>
      <c r="CF200" s="161"/>
      <c r="CG200" s="203"/>
      <c r="CH200" s="203"/>
      <c r="CI200" s="203"/>
      <c r="CJ200" s="203"/>
      <c r="CK200" s="209"/>
      <c r="CL200" s="79" t="str">
        <f>$B200</f>
        <v>DatLab 7 Template 16-07-19</v>
      </c>
      <c r="CM200" s="161"/>
      <c r="CN200" s="204"/>
      <c r="CO200" s="204"/>
      <c r="CP200" s="204"/>
      <c r="CQ200" s="204"/>
      <c r="CR200" s="209"/>
      <c r="CS200" s="79" t="str">
        <f>$B200</f>
        <v>DatLab 7 Template 16-07-19</v>
      </c>
      <c r="CT200" s="161"/>
      <c r="CU200" s="204"/>
      <c r="CV200" s="204"/>
      <c r="CW200" s="204"/>
      <c r="CX200" s="204"/>
      <c r="CY200" s="209"/>
    </row>
    <row r="208" spans="1:103">
      <c r="AQ208" s="508"/>
      <c r="AR208" s="508"/>
      <c r="AS208" s="306"/>
      <c r="AT208" s="306"/>
      <c r="AU208" s="306"/>
      <c r="AV208" s="306"/>
    </row>
    <row r="209" spans="43:48">
      <c r="AQ209" s="509"/>
      <c r="AR209" s="505"/>
      <c r="AS209" s="505"/>
      <c r="AT209" s="505"/>
      <c r="AU209" s="505"/>
      <c r="AV209" s="505"/>
    </row>
  </sheetData>
  <conditionalFormatting sqref="CU3:CX10 CN34:CQ34 CN3:CQ32 CG34:CJ34 CG3:CJ32 BZ3:CA10 CB3:CC32 BS34:BV34 BI34 BL34:BO34 AV17 AS34:AV34 AQ3:AR32 AS3:AV10 AY3:BB32 BL3:BO10 BS3:BV10 BZ34:CC34 CU34:CX34">
    <cfRule type="containsErrors" dxfId="37" priority="2" stopIfTrue="1">
      <formula>ISERROR(AQ3)</formula>
    </cfRule>
  </conditionalFormatting>
  <conditionalFormatting sqref="AS34:AV34">
    <cfRule type="containsErrors" dxfId="36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210</vt:i4>
      </vt:variant>
    </vt:vector>
  </HeadingPairs>
  <TitlesOfParts>
    <vt:vector size="227" baseType="lpstr">
      <vt:lpstr>Navigation</vt:lpstr>
      <vt:lpstr>O2k</vt:lpstr>
      <vt:lpstr>Summary</vt:lpstr>
      <vt:lpstr>Cohort-32D</vt:lpstr>
      <vt:lpstr>#1-32D</vt:lpstr>
      <vt:lpstr>#2-32D</vt:lpstr>
      <vt:lpstr>#3-32D</vt:lpstr>
      <vt:lpstr>#4-32D</vt:lpstr>
      <vt:lpstr>#5-32D</vt:lpstr>
      <vt:lpstr>#6-32D</vt:lpstr>
      <vt:lpstr>Cohort-439</vt:lpstr>
      <vt:lpstr>#1-439</vt:lpstr>
      <vt:lpstr>#2-439</vt:lpstr>
      <vt:lpstr>#3-439</vt:lpstr>
      <vt:lpstr>#4-439</vt:lpstr>
      <vt:lpstr>#5-439</vt:lpstr>
      <vt:lpstr>#6-439</vt:lpstr>
      <vt:lpstr>'Cohort-32D'!CPCD</vt:lpstr>
      <vt:lpstr>'Cohort-439'!CPCD</vt:lpstr>
      <vt:lpstr>'#1-439'!MSa</vt:lpstr>
      <vt:lpstr>'#2-32D'!MSa</vt:lpstr>
      <vt:lpstr>'#2-439'!MSa</vt:lpstr>
      <vt:lpstr>'#3-32D'!MSa</vt:lpstr>
      <vt:lpstr>'#3-439'!MSa</vt:lpstr>
      <vt:lpstr>'#4-32D'!MSa</vt:lpstr>
      <vt:lpstr>'#4-439'!MSa</vt:lpstr>
      <vt:lpstr>'#5-32D'!MSa</vt:lpstr>
      <vt:lpstr>'#5-439'!MSa</vt:lpstr>
      <vt:lpstr>'#6-32D'!MSa</vt:lpstr>
      <vt:lpstr>'#6-439'!MSa</vt:lpstr>
      <vt:lpstr>MSa</vt:lpstr>
      <vt:lpstr>'#1-439'!MSb</vt:lpstr>
      <vt:lpstr>'#2-32D'!MSb</vt:lpstr>
      <vt:lpstr>'#2-439'!MSb</vt:lpstr>
      <vt:lpstr>'#3-32D'!MSb</vt:lpstr>
      <vt:lpstr>'#3-439'!MSb</vt:lpstr>
      <vt:lpstr>'#4-32D'!MSb</vt:lpstr>
      <vt:lpstr>'#4-439'!MSb</vt:lpstr>
      <vt:lpstr>'#5-32D'!MSb</vt:lpstr>
      <vt:lpstr>'#5-439'!MSb</vt:lpstr>
      <vt:lpstr>'#6-32D'!MSb</vt:lpstr>
      <vt:lpstr>'#6-439'!MSb</vt:lpstr>
      <vt:lpstr>MSb</vt:lpstr>
      <vt:lpstr>'#1-439'!MSc</vt:lpstr>
      <vt:lpstr>'#2-32D'!MSc</vt:lpstr>
      <vt:lpstr>'#2-439'!MSc</vt:lpstr>
      <vt:lpstr>'#3-32D'!MSc</vt:lpstr>
      <vt:lpstr>'#3-439'!MSc</vt:lpstr>
      <vt:lpstr>'#4-32D'!MSc</vt:lpstr>
      <vt:lpstr>'#4-439'!MSc</vt:lpstr>
      <vt:lpstr>'#5-32D'!MSc</vt:lpstr>
      <vt:lpstr>'#5-439'!MSc</vt:lpstr>
      <vt:lpstr>'#6-32D'!MSc</vt:lpstr>
      <vt:lpstr>'#6-439'!MSc</vt:lpstr>
      <vt:lpstr>MSc</vt:lpstr>
      <vt:lpstr>'#1-439'!MSd</vt:lpstr>
      <vt:lpstr>'#2-32D'!MSd</vt:lpstr>
      <vt:lpstr>'#2-439'!MSd</vt:lpstr>
      <vt:lpstr>'#3-32D'!MSd</vt:lpstr>
      <vt:lpstr>'#3-439'!MSd</vt:lpstr>
      <vt:lpstr>'#4-32D'!MSd</vt:lpstr>
      <vt:lpstr>'#4-439'!MSd</vt:lpstr>
      <vt:lpstr>'#5-32D'!MSd</vt:lpstr>
      <vt:lpstr>'#5-439'!MSd</vt:lpstr>
      <vt:lpstr>'#6-32D'!MSd</vt:lpstr>
      <vt:lpstr>'#6-439'!MSd</vt:lpstr>
      <vt:lpstr>MSd</vt:lpstr>
      <vt:lpstr>'#1-439'!MSe</vt:lpstr>
      <vt:lpstr>'#2-32D'!MSe</vt:lpstr>
      <vt:lpstr>'#2-439'!MSe</vt:lpstr>
      <vt:lpstr>'#3-32D'!MSe</vt:lpstr>
      <vt:lpstr>'#3-439'!MSe</vt:lpstr>
      <vt:lpstr>'#4-32D'!MSe</vt:lpstr>
      <vt:lpstr>'#4-439'!MSe</vt:lpstr>
      <vt:lpstr>'#5-32D'!MSe</vt:lpstr>
      <vt:lpstr>'#5-439'!MSe</vt:lpstr>
      <vt:lpstr>'#6-32D'!MSe</vt:lpstr>
      <vt:lpstr>'#6-439'!MSe</vt:lpstr>
      <vt:lpstr>MSe</vt:lpstr>
      <vt:lpstr>'#1-439'!MSf</vt:lpstr>
      <vt:lpstr>'#2-32D'!MSf</vt:lpstr>
      <vt:lpstr>'#2-439'!MSf</vt:lpstr>
      <vt:lpstr>'#3-32D'!MSf</vt:lpstr>
      <vt:lpstr>'#3-439'!MSf</vt:lpstr>
      <vt:lpstr>'#4-32D'!MSf</vt:lpstr>
      <vt:lpstr>'#4-439'!MSf</vt:lpstr>
      <vt:lpstr>'#5-32D'!MSf</vt:lpstr>
      <vt:lpstr>'#5-439'!MSf</vt:lpstr>
      <vt:lpstr>'#6-32D'!MSf</vt:lpstr>
      <vt:lpstr>'#6-439'!MSf</vt:lpstr>
      <vt:lpstr>MSf</vt:lpstr>
      <vt:lpstr>'#1-439'!MSg</vt:lpstr>
      <vt:lpstr>'#2-32D'!MSg</vt:lpstr>
      <vt:lpstr>'#2-439'!MSg</vt:lpstr>
      <vt:lpstr>'#3-32D'!MSg</vt:lpstr>
      <vt:lpstr>'#3-439'!MSg</vt:lpstr>
      <vt:lpstr>'#4-32D'!MSg</vt:lpstr>
      <vt:lpstr>'#4-439'!MSg</vt:lpstr>
      <vt:lpstr>'#5-32D'!MSg</vt:lpstr>
      <vt:lpstr>'#5-439'!MSg</vt:lpstr>
      <vt:lpstr>'#6-32D'!MSg</vt:lpstr>
      <vt:lpstr>'#6-439'!MSg</vt:lpstr>
      <vt:lpstr>MSg</vt:lpstr>
      <vt:lpstr>'#1-439'!MSh</vt:lpstr>
      <vt:lpstr>'#2-32D'!MSh</vt:lpstr>
      <vt:lpstr>'#2-439'!MSh</vt:lpstr>
      <vt:lpstr>'#3-32D'!MSh</vt:lpstr>
      <vt:lpstr>'#3-439'!MSh</vt:lpstr>
      <vt:lpstr>'#4-32D'!MSh</vt:lpstr>
      <vt:lpstr>'#4-439'!MSh</vt:lpstr>
      <vt:lpstr>'#5-32D'!MSh</vt:lpstr>
      <vt:lpstr>'#5-439'!MSh</vt:lpstr>
      <vt:lpstr>'#6-32D'!MSh</vt:lpstr>
      <vt:lpstr>'#6-439'!MSh</vt:lpstr>
      <vt:lpstr>MSh</vt:lpstr>
      <vt:lpstr>'#1-439'!Sample_statistics</vt:lpstr>
      <vt:lpstr>'#2-32D'!Sample_statistics</vt:lpstr>
      <vt:lpstr>'#2-439'!Sample_statistics</vt:lpstr>
      <vt:lpstr>'#3-32D'!Sample_statistics</vt:lpstr>
      <vt:lpstr>'#3-439'!Sample_statistics</vt:lpstr>
      <vt:lpstr>'#4-32D'!Sample_statistics</vt:lpstr>
      <vt:lpstr>'#4-439'!Sample_statistics</vt:lpstr>
      <vt:lpstr>'#5-32D'!Sample_statistics</vt:lpstr>
      <vt:lpstr>'#5-439'!Sample_statistics</vt:lpstr>
      <vt:lpstr>'#6-32D'!Sample_statistics</vt:lpstr>
      <vt:lpstr>'#6-439'!Sample_statistics</vt:lpstr>
      <vt:lpstr>'Cohort-32D'!Sample_statistics</vt:lpstr>
      <vt:lpstr>'Cohort-439'!Sample_statistics</vt:lpstr>
      <vt:lpstr>Sample_statistics</vt:lpstr>
      <vt:lpstr>'#1-439'!Subs_a</vt:lpstr>
      <vt:lpstr>'#2-32D'!Subs_a</vt:lpstr>
      <vt:lpstr>'#2-439'!Subs_a</vt:lpstr>
      <vt:lpstr>'#3-32D'!Subs_a</vt:lpstr>
      <vt:lpstr>'#3-439'!Subs_a</vt:lpstr>
      <vt:lpstr>'#4-32D'!Subs_a</vt:lpstr>
      <vt:lpstr>'#4-439'!Subs_a</vt:lpstr>
      <vt:lpstr>'#5-32D'!Subs_a</vt:lpstr>
      <vt:lpstr>'#5-439'!Subs_a</vt:lpstr>
      <vt:lpstr>'#6-32D'!Subs_a</vt:lpstr>
      <vt:lpstr>'#6-439'!Subs_a</vt:lpstr>
      <vt:lpstr>Subs_a</vt:lpstr>
      <vt:lpstr>'#1-439'!Subs_b</vt:lpstr>
      <vt:lpstr>'#2-32D'!Subs_b</vt:lpstr>
      <vt:lpstr>'#2-439'!Subs_b</vt:lpstr>
      <vt:lpstr>'#3-32D'!Subs_b</vt:lpstr>
      <vt:lpstr>'#3-439'!Subs_b</vt:lpstr>
      <vt:lpstr>'#4-32D'!Subs_b</vt:lpstr>
      <vt:lpstr>'#4-439'!Subs_b</vt:lpstr>
      <vt:lpstr>'#5-32D'!Subs_b</vt:lpstr>
      <vt:lpstr>'#5-439'!Subs_b</vt:lpstr>
      <vt:lpstr>'#6-32D'!Subs_b</vt:lpstr>
      <vt:lpstr>'#6-439'!Subs_b</vt:lpstr>
      <vt:lpstr>Subs_b</vt:lpstr>
      <vt:lpstr>'#1-439'!Subs_c</vt:lpstr>
      <vt:lpstr>'#2-32D'!Subs_c</vt:lpstr>
      <vt:lpstr>'#2-439'!Subs_c</vt:lpstr>
      <vt:lpstr>'#3-32D'!Subs_c</vt:lpstr>
      <vt:lpstr>'#3-439'!Subs_c</vt:lpstr>
      <vt:lpstr>'#4-32D'!Subs_c</vt:lpstr>
      <vt:lpstr>'#4-439'!Subs_c</vt:lpstr>
      <vt:lpstr>'#5-32D'!Subs_c</vt:lpstr>
      <vt:lpstr>'#5-439'!Subs_c</vt:lpstr>
      <vt:lpstr>'#6-32D'!Subs_c</vt:lpstr>
      <vt:lpstr>'#6-439'!Subs_c</vt:lpstr>
      <vt:lpstr>Subs_c</vt:lpstr>
      <vt:lpstr>'#1-439'!Subs_d</vt:lpstr>
      <vt:lpstr>'#2-32D'!Subs_d</vt:lpstr>
      <vt:lpstr>'#2-439'!Subs_d</vt:lpstr>
      <vt:lpstr>'#3-32D'!Subs_d</vt:lpstr>
      <vt:lpstr>'#3-439'!Subs_d</vt:lpstr>
      <vt:lpstr>'#4-32D'!Subs_d</vt:lpstr>
      <vt:lpstr>'#4-439'!Subs_d</vt:lpstr>
      <vt:lpstr>'#5-32D'!Subs_d</vt:lpstr>
      <vt:lpstr>'#5-439'!Subs_d</vt:lpstr>
      <vt:lpstr>'#6-32D'!Subs_d</vt:lpstr>
      <vt:lpstr>'#6-439'!Subs_d</vt:lpstr>
      <vt:lpstr>Subs_d</vt:lpstr>
      <vt:lpstr>'#1-439'!Subs_e</vt:lpstr>
      <vt:lpstr>'#2-32D'!Subs_e</vt:lpstr>
      <vt:lpstr>'#2-439'!Subs_e</vt:lpstr>
      <vt:lpstr>'#3-32D'!Subs_e</vt:lpstr>
      <vt:lpstr>'#3-439'!Subs_e</vt:lpstr>
      <vt:lpstr>'#4-32D'!Subs_e</vt:lpstr>
      <vt:lpstr>'#4-439'!Subs_e</vt:lpstr>
      <vt:lpstr>'#5-32D'!Subs_e</vt:lpstr>
      <vt:lpstr>'#5-439'!Subs_e</vt:lpstr>
      <vt:lpstr>'#6-32D'!Subs_e</vt:lpstr>
      <vt:lpstr>'#6-439'!Subs_e</vt:lpstr>
      <vt:lpstr>Subs_e</vt:lpstr>
      <vt:lpstr>'#1-439'!Subs_f</vt:lpstr>
      <vt:lpstr>'#2-32D'!Subs_f</vt:lpstr>
      <vt:lpstr>'#2-439'!Subs_f</vt:lpstr>
      <vt:lpstr>'#3-32D'!Subs_f</vt:lpstr>
      <vt:lpstr>'#3-439'!Subs_f</vt:lpstr>
      <vt:lpstr>'#4-32D'!Subs_f</vt:lpstr>
      <vt:lpstr>'#4-439'!Subs_f</vt:lpstr>
      <vt:lpstr>'#5-32D'!Subs_f</vt:lpstr>
      <vt:lpstr>'#5-439'!Subs_f</vt:lpstr>
      <vt:lpstr>'#6-32D'!Subs_f</vt:lpstr>
      <vt:lpstr>'#6-439'!Subs_f</vt:lpstr>
      <vt:lpstr>Subs_f</vt:lpstr>
      <vt:lpstr>'#1-439'!Subs_g</vt:lpstr>
      <vt:lpstr>'#2-32D'!Subs_g</vt:lpstr>
      <vt:lpstr>'#2-439'!Subs_g</vt:lpstr>
      <vt:lpstr>'#3-32D'!Subs_g</vt:lpstr>
      <vt:lpstr>'#3-439'!Subs_g</vt:lpstr>
      <vt:lpstr>'#4-32D'!Subs_g</vt:lpstr>
      <vt:lpstr>'#4-439'!Subs_g</vt:lpstr>
      <vt:lpstr>'#5-32D'!Subs_g</vt:lpstr>
      <vt:lpstr>'#5-439'!Subs_g</vt:lpstr>
      <vt:lpstr>'#6-32D'!Subs_g</vt:lpstr>
      <vt:lpstr>'#6-439'!Subs_g</vt:lpstr>
      <vt:lpstr>Subs_g</vt:lpstr>
      <vt:lpstr>'#1-439'!Subs_h</vt:lpstr>
      <vt:lpstr>'#2-32D'!Subs_h</vt:lpstr>
      <vt:lpstr>'#2-439'!Subs_h</vt:lpstr>
      <vt:lpstr>'#3-32D'!Subs_h</vt:lpstr>
      <vt:lpstr>'#3-439'!Subs_h</vt:lpstr>
      <vt:lpstr>'#4-32D'!Subs_h</vt:lpstr>
      <vt:lpstr>'#4-439'!Subs_h</vt:lpstr>
      <vt:lpstr>'#5-32D'!Subs_h</vt:lpstr>
      <vt:lpstr>'#5-439'!Subs_h</vt:lpstr>
      <vt:lpstr>'#6-32D'!Subs_h</vt:lpstr>
      <vt:lpstr>'#6-439'!Subs_h</vt:lpstr>
      <vt:lpstr>Subs_h</vt:lpstr>
      <vt:lpstr>'Cohort-32D'!Tables_Sample_statistics</vt:lpstr>
      <vt:lpstr>'Cohort-439'!Tables_Sample_statistics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2016-07-26T14:16:49Z</dcterms:modified>
</cp:coreProperties>
</file>